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A-Overall Propotions_Ch1," sheetId="1" r:id="rId4"/>
    <sheet state="visible" name="Table B-Statewise_Ch2.2, 2.3, 4" sheetId="2" r:id="rId5"/>
    <sheet state="visible" name="Table C-Feminization_Ch2.3.1" sheetId="3" r:id="rId6"/>
    <sheet state="visible" name="Table D-Social Category_Ch2.3.2" sheetId="4" r:id="rId7"/>
    <sheet state="visible" name="Table E-Service Conditions_Ch3." sheetId="5" r:id="rId8"/>
    <sheet state="visible" name="Table F-Professional Working Co" sheetId="6" r:id="rId9"/>
    <sheet state="visible" name="Table G-Aspirational District_C" sheetId="7" r:id="rId10"/>
    <sheet state="visible" name="Table H-Contract Teachers_Ch3.4" sheetId="8" r:id="rId11"/>
    <sheet state="visible" name="Table I-PTR_Ch4.1" sheetId="9" r:id="rId12"/>
    <sheet state="visible" name="Table J-Teachers in different S" sheetId="10" r:id="rId13"/>
    <sheet state="visible" name="Table K-Professional Qualificat" sheetId="11" r:id="rId14"/>
    <sheet state="visible" name="Table L-Kind of Teachers" sheetId="12" r:id="rId15"/>
    <sheet state="visible" name="Table M-Salaries,Type of Cntrct" sheetId="13" r:id="rId16"/>
  </sheets>
  <definedNames>
    <definedName hidden="1" localSheetId="4" name="_xlnm._FilterDatabase">'Table E-Service Conditions_Ch3.'!$A$1:$Q$39</definedName>
  </definedNames>
  <calcPr/>
</workbook>
</file>

<file path=xl/sharedStrings.xml><?xml version="1.0" encoding="utf-8"?>
<sst xmlns="http://schemas.openxmlformats.org/spreadsheetml/2006/main" count="740" uniqueCount="382">
  <si>
    <t>Table: Propotion of Schools, Teachers, Students by Management Type</t>
  </si>
  <si>
    <t>Schools</t>
  </si>
  <si>
    <t>Teachers</t>
  </si>
  <si>
    <t>Students</t>
  </si>
  <si>
    <t>Total No.</t>
  </si>
  <si>
    <t>% Rural of Total</t>
  </si>
  <si>
    <t>Government</t>
  </si>
  <si>
    <t>% of Govt Rural</t>
  </si>
  <si>
    <t>Government (other)</t>
  </si>
  <si>
    <t>Government Aided</t>
  </si>
  <si>
    <t>Private</t>
  </si>
  <si>
    <t>% of Private Rural</t>
  </si>
  <si>
    <t>Madrasas (Recognized)</t>
  </si>
  <si>
    <t>Unrecognized</t>
  </si>
  <si>
    <t>Total Schools</t>
  </si>
  <si>
    <t>Total Teachers</t>
  </si>
  <si>
    <t>Total women teachers(%)</t>
  </si>
  <si>
    <t>Single Teacher Schools</t>
  </si>
  <si>
    <t>States</t>
  </si>
  <si>
    <t>N-2018</t>
  </si>
  <si>
    <t>N-2021</t>
  </si>
  <si>
    <t>% Rural-2018</t>
  </si>
  <si>
    <t>% Rural-2021</t>
  </si>
  <si>
    <t>Andaman &amp; Nicobar Islands</t>
  </si>
  <si>
    <t>Andhra Pradesh</t>
  </si>
  <si>
    <t>3,14,770</t>
  </si>
  <si>
    <t>Arunachal Pradesh</t>
  </si>
  <si>
    <t>Assam</t>
  </si>
  <si>
    <t>3,75,986</t>
  </si>
  <si>
    <t>Bihar</t>
  </si>
  <si>
    <t>5,84,327</t>
  </si>
  <si>
    <t>Chandigarh</t>
  </si>
  <si>
    <t>Chhattisgarh</t>
  </si>
  <si>
    <t>2,69,870</t>
  </si>
  <si>
    <t>Dadra &amp; Nagar Haveli and Daman &amp; Diu</t>
  </si>
  <si>
    <t>70+90</t>
  </si>
  <si>
    <t>1546+3,247</t>
  </si>
  <si>
    <t>74%+63%</t>
  </si>
  <si>
    <t>66%+64%</t>
  </si>
  <si>
    <t>Delhi</t>
  </si>
  <si>
    <t>1,55,668</t>
  </si>
  <si>
    <t>Goa</t>
  </si>
  <si>
    <t>Gujarat</t>
  </si>
  <si>
    <t>4,01,939</t>
  </si>
  <si>
    <t>Haryana</t>
  </si>
  <si>
    <t>2,42,135</t>
  </si>
  <si>
    <t>Himachal Pradesh</t>
  </si>
  <si>
    <t>1,01,654</t>
  </si>
  <si>
    <t>Jammu &amp; Kashmir</t>
  </si>
  <si>
    <t>1,76,459</t>
  </si>
  <si>
    <t>Jharkhand</t>
  </si>
  <si>
    <t>2,13,642</t>
  </si>
  <si>
    <t>Karnataka</t>
  </si>
  <si>
    <t>4,65,773</t>
  </si>
  <si>
    <t>Kerala</t>
  </si>
  <si>
    <t>2,57,230</t>
  </si>
  <si>
    <t>Ladakh</t>
  </si>
  <si>
    <t>Lakshadweep</t>
  </si>
  <si>
    <t>Madhya Pradesh</t>
  </si>
  <si>
    <t>5,79,424</t>
  </si>
  <si>
    <t>Maharashtra</t>
  </si>
  <si>
    <t>7,70,125</t>
  </si>
  <si>
    <t>Manipur</t>
  </si>
  <si>
    <t>Meghalaya</t>
  </si>
  <si>
    <t>Mizoram</t>
  </si>
  <si>
    <t>Nagaland</t>
  </si>
  <si>
    <t>Odisha</t>
  </si>
  <si>
    <t>3,40,477</t>
  </si>
  <si>
    <t>Puducherry</t>
  </si>
  <si>
    <t>Punjab</t>
  </si>
  <si>
    <t>2,72,358</t>
  </si>
  <si>
    <t>Rajasthan</t>
  </si>
  <si>
    <t>7,49,523</t>
  </si>
  <si>
    <t>Sikkim</t>
  </si>
  <si>
    <t>Tamilnadu</t>
  </si>
  <si>
    <t>5,61,466</t>
  </si>
  <si>
    <t>Telangana</t>
  </si>
  <si>
    <t>2,57,367</t>
  </si>
  <si>
    <t>Tripura</t>
  </si>
  <si>
    <t>Uttar Pradesh</t>
  </si>
  <si>
    <t>13,15,338</t>
  </si>
  <si>
    <t>Uttarakhand</t>
  </si>
  <si>
    <t>1,20,899</t>
  </si>
  <si>
    <t>West Bengal</t>
  </si>
  <si>
    <t>6,15,584</t>
  </si>
  <si>
    <t>Total</t>
  </si>
  <si>
    <t>5.68% increase</t>
  </si>
  <si>
    <t>Total No. of Teachers</t>
  </si>
  <si>
    <t xml:space="preserve">Total No. of Women Teachers </t>
  </si>
  <si>
    <t>N-2023</t>
  </si>
  <si>
    <t>% Increase</t>
  </si>
  <si>
    <t xml:space="preserve">% Woman Teachers </t>
  </si>
  <si>
    <t>No. of Rural Women Teachers</t>
  </si>
  <si>
    <t xml:space="preserve">% Rural Women Teachers </t>
  </si>
  <si>
    <t>Total No. of Urban Women Teachers</t>
  </si>
  <si>
    <t xml:space="preserve">% Urban Women Teachers </t>
  </si>
  <si>
    <t>feminisation in schools</t>
  </si>
  <si>
    <t>govt</t>
  </si>
  <si>
    <t>pvt</t>
  </si>
  <si>
    <t>Total Women Teachers</t>
  </si>
  <si>
    <t>% Total Women Teachers</t>
  </si>
  <si>
    <t>Govt School Teachers who are Women</t>
  </si>
  <si>
    <t>% Govt School Teachers who are Women</t>
  </si>
  <si>
    <t>Private School Teachers who are Women</t>
  </si>
  <si>
    <t>% of private school teachers who are women</t>
  </si>
  <si>
    <t>% Women Teachers in Elementary (I to V, I to VIII)</t>
  </si>
  <si>
    <t>% Women Teachers Composite (I to XII, I to X)</t>
  </si>
  <si>
    <t>% Women Teachers Secondary/Senior Secondary (VI to XII, VI to X, VI to VIII, IX to X, IX to XII, XI to XII)</t>
  </si>
  <si>
    <t>% Women Teachers in Rural</t>
  </si>
  <si>
    <t>% Women Teachers Urban</t>
  </si>
  <si>
    <t>General</t>
  </si>
  <si>
    <t>SC</t>
  </si>
  <si>
    <t>ST</t>
  </si>
  <si>
    <t>OBC</t>
  </si>
  <si>
    <t>Access by Road</t>
  </si>
  <si>
    <t>Availability of drinking water</t>
  </si>
  <si>
    <t>Availability of functional Boys toilet</t>
  </si>
  <si>
    <t>Availability of functional girls toilet</t>
  </si>
  <si>
    <t>Availability of functional Electricity</t>
  </si>
  <si>
    <t>Good condition classroom</t>
  </si>
  <si>
    <t>Availability of Ramps</t>
  </si>
  <si>
    <t>98%+91</t>
  </si>
  <si>
    <t>100%+100</t>
  </si>
  <si>
    <t>93+96%</t>
  </si>
  <si>
    <t>96+95%</t>
  </si>
  <si>
    <t>100+100%</t>
  </si>
  <si>
    <t>92+74%</t>
  </si>
  <si>
    <t>NA</t>
  </si>
  <si>
    <t>2018-19</t>
  </si>
  <si>
    <t>2021-22</t>
  </si>
  <si>
    <t>Drinking water</t>
  </si>
  <si>
    <t>Functional Boys toilet</t>
  </si>
  <si>
    <t>Functional girls toilet</t>
  </si>
  <si>
    <t>Functional Electricity</t>
  </si>
  <si>
    <t>Good Condition Classroom</t>
  </si>
  <si>
    <t>Library</t>
  </si>
  <si>
    <t>ICT lab</t>
  </si>
  <si>
    <t>Availability of Internet</t>
  </si>
  <si>
    <t>Visits by Academic Supervisor</t>
  </si>
  <si>
    <t>Availability of Library</t>
  </si>
  <si>
    <t>Availability of ICT lab</t>
  </si>
  <si>
    <t>63+97</t>
  </si>
  <si>
    <t>25+11</t>
  </si>
  <si>
    <t>73+22</t>
  </si>
  <si>
    <t>86+88</t>
  </si>
  <si>
    <t>Table 8: Key parameters for aspirational districts</t>
  </si>
  <si>
    <t>State</t>
  </si>
  <si>
    <t>District</t>
  </si>
  <si>
    <t>Working conditions</t>
  </si>
  <si>
    <t>Total 2018</t>
  </si>
  <si>
    <t>Total 2021</t>
  </si>
  <si>
    <t>%rural 2018</t>
  </si>
  <si>
    <t>Rural 2018</t>
  </si>
  <si>
    <t>%rural 2021</t>
  </si>
  <si>
    <t>Rural 2021</t>
  </si>
  <si>
    <t>%urban 2018</t>
  </si>
  <si>
    <t>Urban 2018</t>
  </si>
  <si>
    <t>%urban 2021</t>
  </si>
  <si>
    <t>Urban 2021</t>
  </si>
  <si>
    <t>%government 2018</t>
  </si>
  <si>
    <t>Government 2018</t>
  </si>
  <si>
    <t>%government 2021</t>
  </si>
  <si>
    <t>Government 2021</t>
  </si>
  <si>
    <t>%Govt Aided 2018</t>
  </si>
  <si>
    <t>Govt Aided 2018</t>
  </si>
  <si>
    <t>%Govt Aided 2021</t>
  </si>
  <si>
    <t>Govt Aided 2021</t>
  </si>
  <si>
    <t>%private 2018</t>
  </si>
  <si>
    <t>Private 2018</t>
  </si>
  <si>
    <t>%private 2021</t>
  </si>
  <si>
    <t>Private 2021</t>
  </si>
  <si>
    <t>%single teachers 2018</t>
  </si>
  <si>
    <t>Single teacher schools 2018</t>
  </si>
  <si>
    <t>%single teachers 2021</t>
  </si>
  <si>
    <t>Single teacher schools 2021</t>
  </si>
  <si>
    <t>%Govt 2018</t>
  </si>
  <si>
    <t>Govt 2018</t>
  </si>
  <si>
    <t>%Pvt 2018</t>
  </si>
  <si>
    <t>Pvt 2018</t>
  </si>
  <si>
    <t>%Govt 2021</t>
  </si>
  <si>
    <t>Govt 2021</t>
  </si>
  <si>
    <t>%Pvt 2021</t>
  </si>
  <si>
    <t>Pvt 2021</t>
  </si>
  <si>
    <t>%female 2018</t>
  </si>
  <si>
    <t>Female 2018</t>
  </si>
  <si>
    <t>%female 2021</t>
  </si>
  <si>
    <t>Female 2021</t>
  </si>
  <si>
    <t>%contract 2018</t>
  </si>
  <si>
    <t>Contract 2018</t>
  </si>
  <si>
    <t>%contract 2021</t>
  </si>
  <si>
    <t>Contract 2021</t>
  </si>
  <si>
    <t>%graduate/postgraduate 2021</t>
  </si>
  <si>
    <t>Sum of graduate and post-graduate 2021</t>
  </si>
  <si>
    <t>Graduate 2018</t>
  </si>
  <si>
    <t>Graduate 2021</t>
  </si>
  <si>
    <t>Post-graduate 2021</t>
  </si>
  <si>
    <t>%no professional qualifications 2021</t>
  </si>
  <si>
    <t>No professional qualifications 2021</t>
  </si>
  <si>
    <t>Pupil-Teacher Ratio 2018</t>
  </si>
  <si>
    <t>Pupil-Teacher Ratio 2021</t>
  </si>
  <si>
    <t>%roads 2018</t>
  </si>
  <si>
    <t>Availability of  roads 2018</t>
  </si>
  <si>
    <t>%roads 2021</t>
  </si>
  <si>
    <t>Availability of  roads 2021</t>
  </si>
  <si>
    <t>%drinking water 2018</t>
  </si>
  <si>
    <t>Availability of functional drinking water 2018</t>
  </si>
  <si>
    <t>%drinking water 2021</t>
  </si>
  <si>
    <t>Availability of functional drinking water 2021</t>
  </si>
  <si>
    <t>%boys toilets 2018</t>
  </si>
  <si>
    <t>Availability of functional boys toilets 2018</t>
  </si>
  <si>
    <t>%boys toilets 2021</t>
  </si>
  <si>
    <t>Availability of functional boys toilets 2021</t>
  </si>
  <si>
    <t>%girls toilets 2018</t>
  </si>
  <si>
    <t>Availability of functional girls toilets 2018</t>
  </si>
  <si>
    <t>%girls toilets 2021</t>
  </si>
  <si>
    <t>Availability of functional girls toilets 2021</t>
  </si>
  <si>
    <t>%electricity 2018</t>
  </si>
  <si>
    <t>Availability of functional electricity 2018</t>
  </si>
  <si>
    <t>%electricity 2021</t>
  </si>
  <si>
    <t>Availability of functional electricity 2021</t>
  </si>
  <si>
    <t>%classrooms in good condition 2018</t>
  </si>
  <si>
    <t>Classrooms in good condition 2018</t>
  </si>
  <si>
    <t>%classrooms in good condition 2021</t>
  </si>
  <si>
    <t>Classrooms in good condition 2021</t>
  </si>
  <si>
    <t>%ramps and handrails 2021</t>
  </si>
  <si>
    <t>Availability of ramps and handrails 2021</t>
  </si>
  <si>
    <t>%libraries 2018</t>
  </si>
  <si>
    <t>Availability of libraries 2018</t>
  </si>
  <si>
    <t>%libraries 2021</t>
  </si>
  <si>
    <t>Availability of libraries 2021</t>
  </si>
  <si>
    <t>%computing devices 2018</t>
  </si>
  <si>
    <t>Computing devices 2018</t>
  </si>
  <si>
    <t>%computing devices 2021</t>
  </si>
  <si>
    <t>Computing devices 2021</t>
  </si>
  <si>
    <t>%internet 2018</t>
  </si>
  <si>
    <t>Internet 2018</t>
  </si>
  <si>
    <t>%internet 2021</t>
  </si>
  <si>
    <t>Internet 2021</t>
  </si>
  <si>
    <t>%visit by academic supervisor 2018</t>
  </si>
  <si>
    <t>Visit by academic supervisor 2018</t>
  </si>
  <si>
    <t>%visit by academic supervisor 2021</t>
  </si>
  <si>
    <t>Visit by academic supervisor 2021</t>
  </si>
  <si>
    <t>Darrang</t>
  </si>
  <si>
    <t>Dhubri</t>
  </si>
  <si>
    <t>Kamrup-Metropolitan</t>
  </si>
  <si>
    <t>Kamrup-Rural</t>
  </si>
  <si>
    <t>Overall state</t>
  </si>
  <si>
    <t>Muzaffarpur</t>
  </si>
  <si>
    <t>Purnia</t>
  </si>
  <si>
    <t>Patna</t>
  </si>
  <si>
    <t>Korba</t>
  </si>
  <si>
    <t>Bastar</t>
  </si>
  <si>
    <t>Raipur</t>
  </si>
  <si>
    <t>Raichur</t>
  </si>
  <si>
    <t>98%%</t>
  </si>
  <si>
    <t>73%%</t>
  </si>
  <si>
    <t>Yadgir</t>
  </si>
  <si>
    <t>Bangalore Urban-North</t>
  </si>
  <si>
    <t>Bangalore Urban-South</t>
  </si>
  <si>
    <t>Nandurbar</t>
  </si>
  <si>
    <t>Gadchiroli</t>
  </si>
  <si>
    <t>Mumbai-II</t>
  </si>
  <si>
    <t>Moga</t>
  </si>
  <si>
    <t>Firozpur</t>
  </si>
  <si>
    <t>Mohali</t>
  </si>
  <si>
    <t>Jayashankar Bhupalpally</t>
  </si>
  <si>
    <t>Bhadradri-Kothagudem</t>
  </si>
  <si>
    <t>Khammam</t>
  </si>
  <si>
    <t>Hyderabad</t>
  </si>
  <si>
    <t>Kolasib</t>
  </si>
  <si>
    <t>Mamit</t>
  </si>
  <si>
    <t>Aizawl</t>
  </si>
  <si>
    <t>All India</t>
  </si>
  <si>
    <t>N</t>
  </si>
  <si>
    <t>%</t>
  </si>
  <si>
    <t>Total Contract Teachers</t>
  </si>
  <si>
    <t>% Contract Teachers</t>
  </si>
  <si>
    <t>% of Contractual Teachers who are in government schools</t>
  </si>
  <si>
    <t>Andaman and Nicobar Islands</t>
  </si>
  <si>
    <t>Dadra and Nagar Haveli and Daman and Diu</t>
  </si>
  <si>
    <t>Contract Teachers</t>
  </si>
  <si>
    <t>Women Teachers</t>
  </si>
  <si>
    <t>Govt Schools</t>
  </si>
  <si>
    <t>Private Schools</t>
  </si>
  <si>
    <t>Statistic</t>
  </si>
  <si>
    <t>PTR (Primary)</t>
  </si>
  <si>
    <t>PTR (Upper Primary)</t>
  </si>
  <si>
    <t>PTR (Secondary)</t>
  </si>
  <si>
    <t>PTR (Higher Secondary)</t>
  </si>
  <si>
    <t>Professionally qualified teachers</t>
  </si>
  <si>
    <t>Graduate teachers</t>
  </si>
  <si>
    <t>Single-teacher schools</t>
  </si>
  <si>
    <t>Schools with functional drinking water availability</t>
  </si>
  <si>
    <t>Schools with functional boys' toilets</t>
  </si>
  <si>
    <t>Schools with functional girls' toilets</t>
  </si>
  <si>
    <t>Location</t>
  </si>
  <si>
    <t>PGI 2020-21</t>
  </si>
  <si>
    <t>State/Union territory</t>
  </si>
  <si>
    <t>PTR source: UDISE dashboard</t>
  </si>
  <si>
    <t>Primary (1-5)</t>
  </si>
  <si>
    <t>Upper Primary (6-8)</t>
  </si>
  <si>
    <t>Secondary (9-10)</t>
  </si>
  <si>
    <t>Higher Secondary (11-12)</t>
  </si>
  <si>
    <t>Notes</t>
  </si>
  <si>
    <t>UT</t>
  </si>
  <si>
    <t>S</t>
  </si>
  <si>
    <t>NE</t>
  </si>
  <si>
    <t>E</t>
  </si>
  <si>
    <t>PTR has decreased in primary and secondary but is still high than the national average. In higher secondary it is as high as 62.</t>
  </si>
  <si>
    <t>W</t>
  </si>
  <si>
    <t>PTR drasticly decreased in secondary.</t>
  </si>
  <si>
    <t>More than 50% decrease in PTR in secondary and higher secondary.</t>
  </si>
  <si>
    <t>High increase in PTR in upper primary, secondary and higher secondary.</t>
  </si>
  <si>
    <t>Decrease in PTR in secondary and digher secondary.</t>
  </si>
  <si>
    <t>Drastic decrease in PTR in primary.</t>
  </si>
  <si>
    <t>Decrease in PTR at higher secondary from 1:95.</t>
  </si>
  <si>
    <t>Increase in PTR in all the levels.</t>
  </si>
  <si>
    <t>Decrease in PTR in all the levels.</t>
  </si>
  <si>
    <t>Overall</t>
  </si>
  <si>
    <t>Year</t>
  </si>
  <si>
    <t>Below graduate teachers</t>
  </si>
  <si>
    <t>Post-graduate teachers</t>
  </si>
  <si>
    <t>Teachers with diploma</t>
  </si>
  <si>
    <t>Teachers with B.Ed or equivalent</t>
  </si>
  <si>
    <t>Teachers with B.El.Ed</t>
  </si>
  <si>
    <t>Teachers with M.Ed or equivalent</t>
  </si>
  <si>
    <t>Other professional qualification</t>
  </si>
  <si>
    <t>No professional qualification</t>
  </si>
  <si>
    <t>0.80% (+)</t>
  </si>
  <si>
    <t>47.51% (-)</t>
  </si>
  <si>
    <t>3.70% (+)</t>
  </si>
  <si>
    <t>8.79% (+)</t>
  </si>
  <si>
    <t>5.86% (-)</t>
  </si>
  <si>
    <t>1.64 % (-)</t>
  </si>
  <si>
    <t>15.51% (+)</t>
  </si>
  <si>
    <t>% Change</t>
  </si>
  <si>
    <t>% Total</t>
  </si>
  <si>
    <t>% Rural</t>
  </si>
  <si>
    <t>% of No Prof. Qual. in Government</t>
  </si>
  <si>
    <t>% of No Prof. Qual. in Private</t>
  </si>
  <si>
    <t>2018 Report</t>
  </si>
  <si>
    <t>2021 Data</t>
  </si>
  <si>
    <t>Need to contact Aslam</t>
  </si>
  <si>
    <t>Industry Type</t>
  </si>
  <si>
    <t>Early Childhood Education</t>
  </si>
  <si>
    <t>Primary School</t>
  </si>
  <si>
    <t>General Secondary School</t>
  </si>
  <si>
    <t>Special education</t>
  </si>
  <si>
    <t>Vocational education (sec)</t>
  </si>
  <si>
    <t>Physical Education</t>
  </si>
  <si>
    <t>Music, Art, Drama</t>
  </si>
  <si>
    <t>Academic tutoring services</t>
  </si>
  <si>
    <t>Educational support services</t>
  </si>
  <si>
    <t>All School Teachers (primary and gen. sec.)</t>
  </si>
  <si>
    <t>All teachers</t>
  </si>
  <si>
    <t>Type of contract (regular salary/wage earners)</t>
  </si>
  <si>
    <t>Proportion with no job contract</t>
  </si>
  <si>
    <t>Proportion with 1-year job contract</t>
  </si>
  <si>
    <t>Proportion with 1 to 3 year job contract</t>
  </si>
  <si>
    <t>Proportion with &gt; 3 year job contract</t>
  </si>
  <si>
    <t>Average salary/wage (no job contract)</t>
  </si>
  <si>
    <t>INR</t>
  </si>
  <si>
    <t>Average salary/wage (less than 1 year contract)</t>
  </si>
  <si>
    <t>Average salary/wage (1 to 3 year contract)</t>
  </si>
  <si>
    <t>Average salary/wage (&gt; 3 year contract)</t>
  </si>
  <si>
    <t>Regular salary/wage earners</t>
  </si>
  <si>
    <t>Proportion of women in respective industry type</t>
  </si>
  <si>
    <t>Average salary/wage (women)</t>
  </si>
  <si>
    <t>Average salary/wage (men)</t>
  </si>
  <si>
    <t>Proportion of respective industry type in rural locations</t>
  </si>
  <si>
    <t>Proportion of women among respective industry type in rural locations</t>
  </si>
  <si>
    <t>NA(0)</t>
  </si>
  <si>
    <t>Social benefits (regular salary/wage earners)</t>
  </si>
  <si>
    <t>Proportion with only PF/ pension (total)</t>
  </si>
  <si>
    <t>Proportion with only gratuity (total)</t>
  </si>
  <si>
    <t>Proportion with only health care &amp; maternity benefits (total)</t>
  </si>
  <si>
    <t>Proportion with only PF/ pension and gratuity (total)</t>
  </si>
  <si>
    <t>Proportion with only PF/ pension and healthcare &amp; maternal benefits (total)</t>
  </si>
  <si>
    <t>Proportion with only gratuity and health care &amp; maternity benefits (total)</t>
  </si>
  <si>
    <t>Proportion with PF/ pension, gratuity, healthcare &amp; maternity benefits (total)</t>
  </si>
  <si>
    <t>Not eligible</t>
  </si>
  <si>
    <t>Not known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</si>
</sst>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8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color theme="1"/>
      <name val="Arial"/>
    </font>
    <font>
      <color theme="1"/>
      <name val="Arial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b/>
      <color rgb="FF000000"/>
      <name val="Arial"/>
    </font>
    <font>
      <b/>
      <sz val="8.0"/>
      <color theme="1"/>
      <name val="Arial"/>
    </font>
    <font>
      <sz val="8.0"/>
      <color theme="1"/>
      <name val="Arial"/>
    </font>
    <font>
      <b/>
      <sz val="9.0"/>
      <color theme="1"/>
      <name val="Calibri"/>
    </font>
    <font>
      <sz val="14.0"/>
      <color rgb="FF000000"/>
      <name val="Calibri"/>
    </font>
    <font>
      <b/>
      <sz val="11.0"/>
      <color rgb="FF000000"/>
      <name val="Docs-Calibri"/>
    </font>
    <font>
      <b/>
      <sz val="11.0"/>
      <color theme="1"/>
      <name val="Arial"/>
      <scheme val="minor"/>
    </font>
    <font>
      <b/>
      <sz val="11.0"/>
      <color rgb="FF000000"/>
      <name val="Arial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sz val="8.0"/>
      <color rgb="FF000000"/>
      <name val="Arial"/>
    </font>
    <font>
      <sz val="8.0"/>
      <color rgb="FF2F5597"/>
      <name val="Arial"/>
    </font>
    <font>
      <sz val="8.0"/>
      <color rgb="FFFF0000"/>
      <name val="Arial"/>
    </font>
    <font>
      <sz val="10.0"/>
      <color theme="1"/>
      <name val="Calibri"/>
    </font>
  </fonts>
  <fills count="20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F6B26B"/>
        <bgColor rgb="FFF6B26B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EA9999"/>
        <bgColor rgb="FFEA9999"/>
      </patternFill>
    </fill>
    <fill>
      <patternFill patternType="solid">
        <fgColor rgb="FFD9D2E9"/>
        <bgColor rgb="FFD9D2E9"/>
      </patternFill>
    </fill>
  </fills>
  <borders count="4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4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readingOrder="0"/>
    </xf>
    <xf borderId="5" fillId="2" fontId="1" numFmtId="0" xfId="0" applyAlignment="1" applyBorder="1" applyFill="1" applyFont="1">
      <alignment horizontal="center" readingOrder="0"/>
    </xf>
    <xf borderId="6" fillId="0" fontId="2" numFmtId="0" xfId="0" applyBorder="1" applyFont="1"/>
    <xf borderId="7" fillId="0" fontId="2" numFmtId="0" xfId="0" applyBorder="1" applyFont="1"/>
    <xf borderId="5" fillId="3" fontId="1" numFmtId="0" xfId="0" applyAlignment="1" applyBorder="1" applyFill="1" applyFont="1">
      <alignment horizontal="center" readingOrder="0"/>
    </xf>
    <xf borderId="8" fillId="0" fontId="2" numFmtId="0" xfId="0" applyBorder="1" applyFont="1"/>
    <xf borderId="9" fillId="0" fontId="3" numFmtId="0" xfId="0" applyBorder="1" applyFont="1"/>
    <xf borderId="7" fillId="0" fontId="4" numFmtId="0" xfId="0" applyAlignment="1" applyBorder="1" applyFont="1">
      <alignment horizontal="center" readingOrder="0" shrinkToFit="0" wrapText="1"/>
    </xf>
    <xf borderId="10" fillId="0" fontId="4" numFmtId="0" xfId="0" applyAlignment="1" applyBorder="1" applyFont="1">
      <alignment horizontal="center" readingOrder="0" shrinkToFit="0" wrapText="1"/>
    </xf>
    <xf borderId="10" fillId="4" fontId="4" numFmtId="0" xfId="0" applyAlignment="1" applyBorder="1" applyFill="1" applyFont="1">
      <alignment horizontal="center" readingOrder="0" shrinkToFit="0" wrapText="1"/>
    </xf>
    <xf borderId="11" fillId="4" fontId="4" numFmtId="0" xfId="0" applyAlignment="1" applyBorder="1" applyFont="1">
      <alignment horizontal="center" readingOrder="0" shrinkToFit="0" wrapText="1"/>
    </xf>
    <xf borderId="12" fillId="0" fontId="4" numFmtId="0" xfId="0" applyAlignment="1" applyBorder="1" applyFont="1">
      <alignment horizontal="left" readingOrder="0" shrinkToFit="0" wrapText="1"/>
    </xf>
    <xf borderId="7" fillId="0" fontId="4" numFmtId="3" xfId="0" applyAlignment="1" applyBorder="1" applyFont="1" applyNumberFormat="1">
      <alignment horizontal="right" readingOrder="0" shrinkToFit="0" wrapText="1"/>
    </xf>
    <xf borderId="10" fillId="0" fontId="4" numFmtId="3" xfId="0" applyAlignment="1" applyBorder="1" applyFont="1" applyNumberFormat="1">
      <alignment horizontal="right" readingOrder="0" shrinkToFit="0" wrapText="1"/>
    </xf>
    <xf borderId="10" fillId="4" fontId="4" numFmtId="3" xfId="0" applyAlignment="1" applyBorder="1" applyFont="1" applyNumberFormat="1">
      <alignment horizontal="right" readingOrder="0" shrinkToFit="0" wrapText="1"/>
    </xf>
    <xf borderId="11" fillId="4" fontId="4" numFmtId="3" xfId="0" applyAlignment="1" applyBorder="1" applyFont="1" applyNumberFormat="1">
      <alignment horizontal="right" readingOrder="0" shrinkToFit="0" wrapText="1"/>
    </xf>
    <xf borderId="0" fillId="0" fontId="3" numFmtId="3" xfId="0" applyFont="1" applyNumberFormat="1"/>
    <xf borderId="0" fillId="0" fontId="3" numFmtId="10" xfId="0" applyFont="1" applyNumberFormat="1"/>
    <xf borderId="7" fillId="0" fontId="5" numFmtId="10" xfId="0" applyAlignment="1" applyBorder="1" applyFont="1" applyNumberFormat="1">
      <alignment horizontal="right" readingOrder="0" shrinkToFit="0" wrapText="1"/>
    </xf>
    <xf borderId="10" fillId="0" fontId="5" numFmtId="10" xfId="0" applyAlignment="1" applyBorder="1" applyFont="1" applyNumberFormat="1">
      <alignment horizontal="right" readingOrder="0" shrinkToFit="0" wrapText="1"/>
    </xf>
    <xf borderId="10" fillId="4" fontId="5" numFmtId="10" xfId="0" applyAlignment="1" applyBorder="1" applyFont="1" applyNumberFormat="1">
      <alignment horizontal="right" readingOrder="0" shrinkToFit="0" wrapText="1"/>
    </xf>
    <xf borderId="11" fillId="4" fontId="5" numFmtId="10" xfId="0" applyAlignment="1" applyBorder="1" applyFont="1" applyNumberFormat="1">
      <alignment horizontal="right" readingOrder="0" shrinkToFit="0" wrapText="1"/>
    </xf>
    <xf borderId="7" fillId="0" fontId="4" numFmtId="10" xfId="0" applyAlignment="1" applyBorder="1" applyFont="1" applyNumberFormat="1">
      <alignment horizontal="right" readingOrder="0" shrinkToFit="0" wrapText="1"/>
    </xf>
    <xf borderId="10" fillId="0" fontId="4" numFmtId="10" xfId="0" applyAlignment="1" applyBorder="1" applyFont="1" applyNumberFormat="1">
      <alignment horizontal="right" readingOrder="0" shrinkToFit="0" wrapText="1"/>
    </xf>
    <xf borderId="10" fillId="4" fontId="4" numFmtId="10" xfId="0" applyAlignment="1" applyBorder="1" applyFont="1" applyNumberFormat="1">
      <alignment horizontal="right" readingOrder="0" shrinkToFit="0" wrapText="1"/>
    </xf>
    <xf borderId="11" fillId="4" fontId="4" numFmtId="10" xfId="0" applyAlignment="1" applyBorder="1" applyFont="1" applyNumberFormat="1">
      <alignment horizontal="right" readingOrder="0" shrinkToFit="0" wrapText="1"/>
    </xf>
    <xf borderId="0" fillId="0" fontId="3" numFmtId="0" xfId="0" applyFont="1"/>
    <xf borderId="13" fillId="0" fontId="4" numFmtId="0" xfId="0" applyAlignment="1" applyBorder="1" applyFont="1">
      <alignment horizontal="left" readingOrder="0" shrinkToFit="0" wrapText="1"/>
    </xf>
    <xf borderId="14" fillId="0" fontId="4" numFmtId="10" xfId="0" applyAlignment="1" applyBorder="1" applyFont="1" applyNumberFormat="1">
      <alignment horizontal="right" readingOrder="0" shrinkToFit="0" wrapText="1"/>
    </xf>
    <xf borderId="15" fillId="0" fontId="4" numFmtId="10" xfId="0" applyAlignment="1" applyBorder="1" applyFont="1" applyNumberFormat="1">
      <alignment horizontal="right" readingOrder="0" shrinkToFit="0" wrapText="1"/>
    </xf>
    <xf borderId="15" fillId="4" fontId="4" numFmtId="10" xfId="0" applyAlignment="1" applyBorder="1" applyFont="1" applyNumberFormat="1">
      <alignment horizontal="right" readingOrder="0" shrinkToFit="0" wrapText="1"/>
    </xf>
    <xf borderId="16" fillId="4" fontId="4" numFmtId="10" xfId="0" applyAlignment="1" applyBorder="1" applyFont="1" applyNumberFormat="1">
      <alignment horizontal="right" readingOrder="0" shrinkToFit="0" wrapText="1"/>
    </xf>
    <xf borderId="0" fillId="0" fontId="3" numFmtId="0" xfId="0" applyAlignment="1" applyFont="1">
      <alignment readingOrder="0" shrinkToFit="0" wrapText="1"/>
    </xf>
    <xf borderId="0" fillId="5" fontId="1" numFmtId="0" xfId="0" applyAlignment="1" applyFill="1" applyFont="1">
      <alignment horizontal="center" readingOrder="0"/>
    </xf>
    <xf borderId="0" fillId="6" fontId="1" numFmtId="0" xfId="0" applyAlignment="1" applyFill="1" applyFont="1">
      <alignment horizontal="center" readingOrder="0"/>
    </xf>
    <xf borderId="0" fillId="5" fontId="1" numFmtId="0" xfId="0" applyAlignment="1" applyFont="1">
      <alignment readingOrder="0"/>
    </xf>
    <xf borderId="0" fillId="7" fontId="1" numFmtId="0" xfId="0" applyAlignment="1" applyFill="1" applyFont="1">
      <alignment readingOrder="0"/>
    </xf>
    <xf borderId="0" fillId="8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10" fillId="0" fontId="6" numFmtId="0" xfId="0" applyAlignment="1" applyBorder="1" applyFont="1">
      <alignment shrinkToFit="0" vertical="bottom" wrapText="1"/>
    </xf>
    <xf borderId="7" fillId="8" fontId="6" numFmtId="3" xfId="0" applyAlignment="1" applyBorder="1" applyFont="1" applyNumberFormat="1">
      <alignment horizontal="right" readingOrder="0" vertical="bottom"/>
    </xf>
    <xf borderId="7" fillId="0" fontId="6" numFmtId="3" xfId="0" applyAlignment="1" applyBorder="1" applyFont="1" applyNumberFormat="1">
      <alignment horizontal="right" vertical="bottom"/>
    </xf>
    <xf borderId="7" fillId="8" fontId="6" numFmtId="10" xfId="0" applyAlignment="1" applyBorder="1" applyFont="1" applyNumberFormat="1">
      <alignment horizontal="right" readingOrder="0" vertical="bottom"/>
    </xf>
    <xf borderId="7" fillId="0" fontId="6" numFmtId="10" xfId="0" applyAlignment="1" applyBorder="1" applyFont="1" applyNumberFormat="1">
      <alignment horizontal="right" vertical="bottom"/>
    </xf>
    <xf borderId="10" fillId="0" fontId="6" numFmtId="3" xfId="0" applyAlignment="1" applyBorder="1" applyFont="1" applyNumberFormat="1">
      <alignment horizontal="right" vertical="bottom"/>
    </xf>
    <xf borderId="10" fillId="8" fontId="6" numFmtId="9" xfId="0" applyAlignment="1" applyBorder="1" applyFont="1" applyNumberFormat="1">
      <alignment horizontal="right" readingOrder="0" vertical="bottom"/>
    </xf>
    <xf borderId="10" fillId="0" fontId="6" numFmtId="9" xfId="0" applyAlignment="1" applyBorder="1" applyFont="1" applyNumberFormat="1">
      <alignment horizontal="right" vertical="bottom"/>
    </xf>
    <xf borderId="10" fillId="8" fontId="3" numFmtId="9" xfId="0" applyAlignment="1" applyBorder="1" applyFont="1" applyNumberFormat="1">
      <alignment readingOrder="0"/>
    </xf>
    <xf borderId="10" fillId="0" fontId="3" numFmtId="9" xfId="0" applyBorder="1" applyFont="1" applyNumberFormat="1"/>
    <xf borderId="10" fillId="8" fontId="6" numFmtId="3" xfId="0" applyAlignment="1" applyBorder="1" applyFont="1" applyNumberFormat="1">
      <alignment horizontal="right" readingOrder="0" vertical="bottom"/>
    </xf>
    <xf borderId="0" fillId="0" fontId="6" numFmtId="3" xfId="0" applyAlignment="1" applyFont="1" applyNumberFormat="1">
      <alignment horizontal="right" vertical="bottom"/>
    </xf>
    <xf borderId="0" fillId="0" fontId="6" numFmtId="10" xfId="0" applyAlignment="1" applyFont="1" applyNumberFormat="1">
      <alignment horizontal="right" vertical="bottom"/>
    </xf>
    <xf borderId="17" fillId="0" fontId="6" numFmtId="0" xfId="0" applyAlignment="1" applyBorder="1" applyFont="1">
      <alignment shrinkToFit="0" vertical="bottom" wrapText="1"/>
    </xf>
    <xf borderId="18" fillId="8" fontId="6" numFmtId="3" xfId="0" applyAlignment="1" applyBorder="1" applyFont="1" applyNumberFormat="1">
      <alignment horizontal="right" readingOrder="0" vertical="bottom"/>
    </xf>
    <xf borderId="18" fillId="0" fontId="6" numFmtId="3" xfId="0" applyAlignment="1" applyBorder="1" applyFont="1" applyNumberFormat="1">
      <alignment horizontal="right" vertical="bottom"/>
    </xf>
    <xf borderId="18" fillId="0" fontId="6" numFmtId="10" xfId="0" applyAlignment="1" applyBorder="1" applyFont="1" applyNumberFormat="1">
      <alignment horizontal="right" vertical="bottom"/>
    </xf>
    <xf borderId="17" fillId="0" fontId="6" numFmtId="3" xfId="0" applyAlignment="1" applyBorder="1" applyFont="1" applyNumberFormat="1">
      <alignment horizontal="right" vertical="bottom"/>
    </xf>
    <xf borderId="17" fillId="0" fontId="6" numFmtId="9" xfId="0" applyAlignment="1" applyBorder="1" applyFont="1" applyNumberFormat="1">
      <alignment horizontal="right" vertical="bottom"/>
    </xf>
    <xf borderId="0" fillId="8" fontId="3" numFmtId="0" xfId="0" applyAlignment="1" applyFont="1">
      <alignment readingOrder="0"/>
    </xf>
    <xf borderId="10" fillId="8" fontId="6" numFmtId="0" xfId="0" applyAlignment="1" applyBorder="1" applyFont="1">
      <alignment horizontal="right" readingOrder="0" vertical="bottom"/>
    </xf>
    <xf borderId="10" fillId="8" fontId="3" numFmtId="0" xfId="0" applyAlignment="1" applyBorder="1" applyFont="1">
      <alignment readingOrder="0"/>
    </xf>
    <xf borderId="18" fillId="8" fontId="6" numFmtId="49" xfId="0" applyAlignment="1" applyBorder="1" applyFont="1" applyNumberFormat="1">
      <alignment horizontal="right" readingOrder="0" vertical="bottom"/>
    </xf>
    <xf borderId="18" fillId="8" fontId="6" numFmtId="3" xfId="0" applyAlignment="1" applyBorder="1" applyFont="1" applyNumberFormat="1">
      <alignment horizontal="right" vertical="bottom"/>
    </xf>
    <xf borderId="10" fillId="8" fontId="6" numFmtId="9" xfId="0" applyAlignment="1" applyBorder="1" applyFont="1" applyNumberFormat="1">
      <alignment horizontal="right" vertical="bottom"/>
    </xf>
    <xf borderId="10" fillId="8" fontId="6" numFmtId="3" xfId="0" applyAlignment="1" applyBorder="1" applyFont="1" applyNumberFormat="1">
      <alignment horizontal="right" vertical="bottom"/>
    </xf>
    <xf borderId="17" fillId="0" fontId="7" numFmtId="0" xfId="0" applyAlignment="1" applyBorder="1" applyFont="1">
      <alignment shrinkToFit="0" vertical="bottom" wrapText="1"/>
    </xf>
    <xf borderId="10" fillId="8" fontId="7" numFmtId="3" xfId="0" applyAlignment="1" applyBorder="1" applyFont="1" applyNumberFormat="1">
      <alignment horizontal="right" readingOrder="0" vertical="bottom"/>
    </xf>
    <xf borderId="10" fillId="0" fontId="7" numFmtId="3" xfId="0" applyAlignment="1" applyBorder="1" applyFont="1" applyNumberFormat="1">
      <alignment horizontal="right" vertical="bottom"/>
    </xf>
    <xf borderId="10" fillId="0" fontId="7" numFmtId="10" xfId="0" applyAlignment="1" applyBorder="1" applyFont="1" applyNumberFormat="1">
      <alignment horizontal="right" vertical="bottom"/>
    </xf>
    <xf borderId="10" fillId="8" fontId="7" numFmtId="9" xfId="0" applyAlignment="1" applyBorder="1" applyFont="1" applyNumberFormat="1">
      <alignment horizontal="right" readingOrder="0" vertical="bottom"/>
    </xf>
    <xf borderId="17" fillId="0" fontId="7" numFmtId="9" xfId="0" applyAlignment="1" applyBorder="1" applyFont="1" applyNumberFormat="1">
      <alignment horizontal="right" vertical="bottom"/>
    </xf>
    <xf borderId="10" fillId="8" fontId="1" numFmtId="9" xfId="0" applyAlignment="1" applyBorder="1" applyFont="1" applyNumberFormat="1">
      <alignment readingOrder="0"/>
    </xf>
    <xf borderId="10" fillId="0" fontId="1" numFmtId="9" xfId="0" applyBorder="1" applyFont="1" applyNumberFormat="1"/>
    <xf borderId="0" fillId="0" fontId="3" numFmtId="0" xfId="0" applyAlignment="1" applyFont="1">
      <alignment readingOrder="0"/>
    </xf>
    <xf borderId="0" fillId="0" fontId="7" numFmtId="3" xfId="0" applyAlignment="1" applyFont="1" applyNumberFormat="1">
      <alignment horizontal="right" vertical="bottom"/>
    </xf>
    <xf borderId="0" fillId="0" fontId="3" numFmtId="0" xfId="0" applyAlignment="1" applyFont="1">
      <alignment shrinkToFit="0" wrapText="1"/>
    </xf>
    <xf borderId="19" fillId="0" fontId="3" numFmtId="0" xfId="0" applyBorder="1" applyFont="1"/>
    <xf borderId="20" fillId="5" fontId="1" numFmtId="0" xfId="0" applyAlignment="1" applyBorder="1" applyFont="1">
      <alignment horizontal="center" readingOrder="0"/>
    </xf>
    <xf borderId="21" fillId="5" fontId="1" numFmtId="0" xfId="0" applyAlignment="1" applyBorder="1" applyFont="1">
      <alignment horizontal="center" readingOrder="0"/>
    </xf>
    <xf borderId="22" fillId="0" fontId="1" numFmtId="0" xfId="0" applyAlignment="1" applyBorder="1" applyFont="1">
      <alignment readingOrder="0" shrinkToFit="0" wrapText="1"/>
    </xf>
    <xf borderId="10" fillId="4" fontId="6" numFmtId="3" xfId="0" applyAlignment="1" applyBorder="1" applyFont="1" applyNumberFormat="1">
      <alignment horizontal="center" readingOrder="0" vertical="bottom"/>
    </xf>
    <xf borderId="11" fillId="4" fontId="6" numFmtId="3" xfId="0" applyAlignment="1" applyBorder="1" applyFont="1" applyNumberFormat="1">
      <alignment horizontal="center" vertical="bottom"/>
    </xf>
    <xf borderId="1" fillId="7" fontId="8" numFmtId="0" xfId="0" applyAlignment="1" applyBorder="1" applyFont="1">
      <alignment horizontal="center" shrinkToFit="0" vertical="bottom" wrapText="0"/>
    </xf>
    <xf borderId="10" fillId="0" fontId="3" numFmtId="0" xfId="0" applyAlignment="1" applyBorder="1" applyFont="1">
      <alignment horizontal="center" readingOrder="0"/>
    </xf>
    <xf borderId="11" fillId="0" fontId="3" numFmtId="3" xfId="0" applyAlignment="1" applyBorder="1" applyFont="1" applyNumberFormat="1">
      <alignment horizontal="center"/>
    </xf>
    <xf borderId="12" fillId="8" fontId="8" numFmtId="0" xfId="0" applyAlignment="1" applyBorder="1" applyFont="1">
      <alignment horizontal="center" vertical="bottom"/>
    </xf>
    <xf borderId="10" fillId="0" fontId="8" numFmtId="0" xfId="0" applyAlignment="1" applyBorder="1" applyFont="1">
      <alignment horizontal="center" vertical="bottom"/>
    </xf>
    <xf borderId="11" fillId="0" fontId="1" numFmtId="0" xfId="0" applyAlignment="1" applyBorder="1" applyFont="1">
      <alignment readingOrder="0" shrinkToFit="0" wrapText="1"/>
    </xf>
    <xf borderId="10" fillId="4" fontId="3" numFmtId="9" xfId="0" applyAlignment="1" applyBorder="1" applyFont="1" applyNumberFormat="1">
      <alignment horizontal="center" readingOrder="0"/>
    </xf>
    <xf borderId="11" fillId="4" fontId="3" numFmtId="9" xfId="0" applyAlignment="1" applyBorder="1" applyFont="1" applyNumberFormat="1">
      <alignment horizontal="center"/>
    </xf>
    <xf borderId="13" fillId="4" fontId="6" numFmtId="3" xfId="0" applyAlignment="1" applyBorder="1" applyFont="1" applyNumberFormat="1">
      <alignment horizontal="center" readingOrder="0" vertical="bottom"/>
    </xf>
    <xf borderId="15" fillId="4" fontId="6" numFmtId="3" xfId="0" applyAlignment="1" applyBorder="1" applyFont="1" applyNumberFormat="1">
      <alignment horizontal="center" vertical="bottom"/>
    </xf>
    <xf borderId="16" fillId="0" fontId="3" numFmtId="0" xfId="0" applyAlignment="1" applyBorder="1" applyFont="1">
      <alignment readingOrder="0"/>
    </xf>
    <xf borderId="10" fillId="0" fontId="9" numFmtId="3" xfId="0" applyAlignment="1" applyBorder="1" applyFont="1" applyNumberFormat="1">
      <alignment horizontal="center" readingOrder="0" vertical="bottom"/>
    </xf>
    <xf borderId="11" fillId="4" fontId="3" numFmtId="3" xfId="0" applyAlignment="1" applyBorder="1" applyFont="1" applyNumberFormat="1">
      <alignment horizontal="center"/>
    </xf>
    <xf borderId="10" fillId="0" fontId="3" numFmtId="10" xfId="0" applyAlignment="1" applyBorder="1" applyFont="1" applyNumberFormat="1">
      <alignment horizontal="center"/>
    </xf>
    <xf borderId="11" fillId="0" fontId="3" numFmtId="10" xfId="0" applyAlignment="1" applyBorder="1" applyFont="1" applyNumberFormat="1">
      <alignment horizontal="center"/>
    </xf>
    <xf borderId="10" fillId="0" fontId="9" numFmtId="3" xfId="0" applyAlignment="1" applyBorder="1" applyFont="1" applyNumberFormat="1">
      <alignment horizontal="center" vertical="bottom"/>
    </xf>
    <xf borderId="0" fillId="4" fontId="3" numFmtId="0" xfId="0" applyFont="1"/>
    <xf borderId="23" fillId="0" fontId="1" numFmtId="0" xfId="0" applyAlignment="1" applyBorder="1" applyFont="1">
      <alignment readingOrder="0" shrinkToFit="0" wrapText="1"/>
    </xf>
    <xf borderId="15" fillId="0" fontId="3" numFmtId="10" xfId="0" applyAlignment="1" applyBorder="1" applyFont="1" applyNumberFormat="1">
      <alignment horizontal="center"/>
    </xf>
    <xf borderId="16" fillId="0" fontId="3" numFmtId="10" xfId="0" applyAlignment="1" applyBorder="1" applyFont="1" applyNumberFormat="1">
      <alignment horizontal="center"/>
    </xf>
    <xf borderId="0" fillId="4" fontId="8" numFmtId="0" xfId="0" applyAlignment="1" applyFont="1">
      <alignment horizontal="left" vertical="bottom"/>
    </xf>
    <xf borderId="0" fillId="4" fontId="3" numFmtId="0" xfId="0" applyAlignment="1" applyFont="1">
      <alignment horizontal="left" readingOrder="0"/>
    </xf>
    <xf borderId="0" fillId="4" fontId="3" numFmtId="9" xfId="0" applyAlignment="1" applyFont="1" applyNumberFormat="1">
      <alignment horizontal="left" readingOrder="0"/>
    </xf>
    <xf borderId="0" fillId="4" fontId="3" numFmtId="3" xfId="0" applyAlignment="1" applyFont="1" applyNumberFormat="1">
      <alignment horizontal="left"/>
    </xf>
    <xf borderId="0" fillId="4" fontId="3" numFmtId="9" xfId="0" applyAlignment="1" applyFont="1" applyNumberFormat="1">
      <alignment horizontal="left"/>
    </xf>
    <xf borderId="0" fillId="4" fontId="8" numFmtId="0" xfId="0" applyAlignment="1" applyFont="1">
      <alignment horizontal="left" readingOrder="0" vertical="bottom"/>
    </xf>
    <xf borderId="0" fillId="4" fontId="9" numFmtId="3" xfId="0" applyAlignment="1" applyFont="1" applyNumberFormat="1">
      <alignment horizontal="left" readingOrder="0" vertical="bottom"/>
    </xf>
    <xf borderId="0" fillId="4" fontId="3" numFmtId="10" xfId="0" applyAlignment="1" applyFont="1" applyNumberFormat="1">
      <alignment horizontal="left"/>
    </xf>
    <xf borderId="0" fillId="4" fontId="9" numFmtId="3" xfId="0" applyAlignment="1" applyFont="1" applyNumberFormat="1">
      <alignment horizontal="left" vertical="bottom"/>
    </xf>
    <xf borderId="10" fillId="0" fontId="3" numFmtId="0" xfId="0" applyBorder="1" applyFont="1"/>
    <xf borderId="10" fillId="0" fontId="1" numFmtId="0" xfId="0" applyAlignment="1" applyBorder="1" applyFont="1">
      <alignment readingOrder="0" shrinkToFit="0" wrapText="1"/>
    </xf>
    <xf borderId="10" fillId="0" fontId="6" numFmtId="0" xfId="0" applyAlignment="1" applyBorder="1" applyFont="1">
      <alignment vertical="bottom"/>
    </xf>
    <xf borderId="10" fillId="0" fontId="3" numFmtId="10" xfId="0" applyBorder="1" applyFont="1" applyNumberFormat="1"/>
    <xf borderId="10" fillId="0" fontId="1" numFmtId="0" xfId="0" applyAlignment="1" applyBorder="1" applyFont="1">
      <alignment readingOrder="0"/>
    </xf>
    <xf borderId="9" fillId="0" fontId="10" numFmtId="0" xfId="0" applyAlignment="1" applyBorder="1" applyFont="1">
      <alignment readingOrder="0"/>
    </xf>
    <xf borderId="24" fillId="0" fontId="11" numFmtId="3" xfId="0" applyBorder="1" applyFont="1" applyNumberFormat="1"/>
    <xf borderId="12" fillId="0" fontId="10" numFmtId="0" xfId="0" applyAlignment="1" applyBorder="1" applyFont="1">
      <alignment readingOrder="0"/>
    </xf>
    <xf borderId="11" fillId="0" fontId="11" numFmtId="3" xfId="0" applyBorder="1" applyFont="1" applyNumberFormat="1"/>
    <xf borderId="10" fillId="9" fontId="3" numFmtId="9" xfId="0" applyBorder="1" applyFill="1" applyFont="1" applyNumberFormat="1"/>
    <xf borderId="12" fillId="0" fontId="11" numFmtId="0" xfId="0" applyAlignment="1" applyBorder="1" applyFont="1">
      <alignment readingOrder="0" shrinkToFit="0" wrapText="1"/>
    </xf>
    <xf borderId="11" fillId="0" fontId="11" numFmtId="9" xfId="0" applyAlignment="1" applyBorder="1" applyFont="1" applyNumberFormat="1">
      <alignment readingOrder="0"/>
    </xf>
    <xf borderId="12" fillId="0" fontId="10" numFmtId="0" xfId="0" applyAlignment="1" applyBorder="1" applyFont="1">
      <alignment readingOrder="0" shrinkToFit="0" wrapText="1"/>
    </xf>
    <xf borderId="11" fillId="0" fontId="11" numFmtId="10" xfId="0" applyAlignment="1" applyBorder="1" applyFont="1" applyNumberFormat="1">
      <alignment readingOrder="0"/>
    </xf>
    <xf borderId="10" fillId="0" fontId="1" numFmtId="10" xfId="0" applyBorder="1" applyFont="1" applyNumberFormat="1"/>
    <xf borderId="11" fillId="0" fontId="11" numFmtId="3" xfId="0" applyAlignment="1" applyBorder="1" applyFont="1" applyNumberFormat="1">
      <alignment readingOrder="0"/>
    </xf>
    <xf borderId="12" fillId="0" fontId="10" numFmtId="0" xfId="0" applyAlignment="1" applyBorder="1" applyFont="1">
      <alignment readingOrder="0" shrinkToFit="0" vertical="bottom" wrapText="1"/>
    </xf>
    <xf borderId="11" fillId="0" fontId="11" numFmtId="9" xfId="0" applyBorder="1" applyFont="1" applyNumberFormat="1"/>
    <xf borderId="0" fillId="0" fontId="3" numFmtId="9" xfId="0" applyFont="1" applyNumberFormat="1"/>
    <xf borderId="13" fillId="0" fontId="10" numFmtId="0" xfId="0" applyAlignment="1" applyBorder="1" applyFont="1">
      <alignment readingOrder="0" shrinkToFit="0" vertical="bottom" wrapText="1"/>
    </xf>
    <xf borderId="16" fillId="0" fontId="11" numFmtId="9" xfId="0" applyBorder="1" applyFont="1" applyNumberFormat="1"/>
    <xf borderId="0" fillId="7" fontId="1" numFmtId="0" xfId="0" applyAlignment="1" applyFont="1">
      <alignment horizontal="center" readingOrder="0"/>
    </xf>
    <xf borderId="10" fillId="6" fontId="7" numFmtId="0" xfId="0" applyAlignment="1" applyBorder="1" applyFont="1">
      <alignment vertical="bottom"/>
    </xf>
    <xf borderId="0" fillId="8" fontId="1" numFmtId="0" xfId="0" applyAlignment="1" applyFont="1">
      <alignment readingOrder="0"/>
    </xf>
    <xf borderId="17" fillId="10" fontId="6" numFmtId="3" xfId="0" applyAlignment="1" applyBorder="1" applyFill="1" applyFont="1" applyNumberFormat="1">
      <alignment horizontal="right" vertical="bottom"/>
    </xf>
    <xf borderId="17" fillId="11" fontId="6" numFmtId="3" xfId="0" applyAlignment="1" applyBorder="1" applyFill="1" applyFont="1" applyNumberFormat="1">
      <alignment horizontal="right" vertical="bottom"/>
    </xf>
    <xf borderId="17" fillId="0" fontId="7" numFmtId="3" xfId="0" applyAlignment="1" applyBorder="1" applyFont="1" applyNumberFormat="1">
      <alignment horizontal="right" vertical="bottom"/>
    </xf>
    <xf borderId="0" fillId="0" fontId="1" numFmtId="2" xfId="0" applyFont="1" applyNumberFormat="1"/>
    <xf borderId="10" fillId="8" fontId="1" numFmtId="0" xfId="0" applyAlignment="1" applyBorder="1" applyFont="1">
      <alignment horizontal="center" readingOrder="0"/>
    </xf>
    <xf borderId="10" fillId="0" fontId="1" numFmtId="0" xfId="0" applyAlignment="1" applyBorder="1" applyFont="1">
      <alignment horizontal="center" readingOrder="0"/>
    </xf>
    <xf borderId="10" fillId="12" fontId="12" numFmtId="0" xfId="0" applyAlignment="1" applyBorder="1" applyFill="1" applyFont="1">
      <alignment horizontal="left" readingOrder="0" shrinkToFit="0" wrapText="1"/>
    </xf>
    <xf borderId="5" fillId="0" fontId="6" numFmtId="0" xfId="0" applyAlignment="1" applyBorder="1" applyFont="1">
      <alignment shrinkToFit="0" vertical="bottom" wrapText="1"/>
    </xf>
    <xf borderId="10" fillId="0" fontId="3" numFmtId="164" xfId="0" applyAlignment="1" applyBorder="1" applyFont="1" applyNumberFormat="1">
      <alignment readingOrder="0"/>
    </xf>
    <xf borderId="10" fillId="0" fontId="3" numFmtId="164" xfId="0" applyBorder="1" applyFont="1" applyNumberFormat="1"/>
    <xf borderId="10" fillId="0" fontId="3" numFmtId="9" xfId="0" applyAlignment="1" applyBorder="1" applyFont="1" applyNumberFormat="1">
      <alignment readingOrder="0"/>
    </xf>
    <xf borderId="25" fillId="0" fontId="6" numFmtId="0" xfId="0" applyAlignment="1" applyBorder="1" applyFont="1">
      <alignment shrinkToFit="0" vertical="bottom" wrapText="1"/>
    </xf>
    <xf borderId="10" fillId="0" fontId="3" numFmtId="0" xfId="0" applyAlignment="1" applyBorder="1" applyFont="1">
      <alignment readingOrder="0"/>
    </xf>
    <xf borderId="10" fillId="0" fontId="3" numFmtId="0" xfId="0" applyBorder="1" applyFont="1"/>
    <xf borderId="10" fillId="0" fontId="3" numFmtId="10" xfId="0" applyAlignment="1" applyBorder="1" applyFont="1" applyNumberFormat="1">
      <alignment readingOrder="0"/>
    </xf>
    <xf borderId="25" fillId="0" fontId="7" numFmtId="0" xfId="0" applyAlignment="1" applyBorder="1" applyFont="1">
      <alignment shrinkToFit="0" vertical="bottom" wrapText="1"/>
    </xf>
    <xf borderId="10" fillId="0" fontId="1" numFmtId="164" xfId="0" applyAlignment="1" applyBorder="1" applyFont="1" applyNumberFormat="1">
      <alignment readingOrder="0"/>
    </xf>
    <xf borderId="10" fillId="0" fontId="1" numFmtId="164" xfId="0" applyBorder="1" applyFont="1" applyNumberFormat="1"/>
    <xf borderId="10" fillId="0" fontId="1" numFmtId="9" xfId="0" applyAlignment="1" applyBorder="1" applyFont="1" applyNumberFormat="1">
      <alignment readingOrder="0"/>
    </xf>
    <xf borderId="10" fillId="8" fontId="1" numFmtId="164" xfId="0" applyAlignment="1" applyBorder="1" applyFont="1" applyNumberFormat="1">
      <alignment readingOrder="0"/>
    </xf>
    <xf borderId="0" fillId="4" fontId="1" numFmtId="0" xfId="0" applyAlignment="1" applyFont="1">
      <alignment horizontal="center" readingOrder="0"/>
    </xf>
    <xf borderId="0" fillId="4" fontId="1" numFmtId="0" xfId="0" applyAlignment="1" applyFont="1">
      <alignment readingOrder="0"/>
    </xf>
    <xf borderId="0" fillId="4" fontId="1" numFmtId="0" xfId="0" applyAlignment="1" applyFont="1">
      <alignment readingOrder="0" shrinkToFit="0" wrapText="0"/>
    </xf>
    <xf borderId="0" fillId="4" fontId="12" numFmtId="0" xfId="0" applyAlignment="1" applyFont="1">
      <alignment horizontal="left" readingOrder="0" shrinkToFit="0" wrapText="0"/>
    </xf>
    <xf borderId="0" fillId="4" fontId="1" numFmtId="0" xfId="0" applyAlignment="1" applyFont="1">
      <alignment readingOrder="0" shrinkToFit="0" wrapText="1"/>
    </xf>
    <xf borderId="0" fillId="4" fontId="7" numFmtId="3" xfId="0" applyAlignment="1" applyFont="1" applyNumberFormat="1">
      <alignment horizontal="right" readingOrder="0" vertical="bottom"/>
    </xf>
    <xf borderId="0" fillId="4" fontId="7" numFmtId="3" xfId="0" applyAlignment="1" applyFont="1" applyNumberFormat="1">
      <alignment horizontal="right" vertical="bottom"/>
    </xf>
    <xf borderId="0" fillId="4" fontId="1" numFmtId="164" xfId="0" applyAlignment="1" applyFont="1" applyNumberFormat="1">
      <alignment readingOrder="0"/>
    </xf>
    <xf borderId="0" fillId="4" fontId="1" numFmtId="164" xfId="0" applyFont="1" applyNumberFormat="1"/>
    <xf borderId="0" fillId="4" fontId="1" numFmtId="9" xfId="0" applyFont="1" applyNumberFormat="1"/>
    <xf borderId="0" fillId="4" fontId="1" numFmtId="10" xfId="0" applyFont="1" applyNumberFormat="1"/>
    <xf borderId="10" fillId="0" fontId="1" numFmtId="0" xfId="0" applyAlignment="1" applyBorder="1" applyFont="1">
      <alignment readingOrder="0" shrinkToFit="0" wrapText="0"/>
    </xf>
    <xf borderId="10" fillId="8" fontId="3" numFmtId="164" xfId="0" applyAlignment="1" applyBorder="1" applyFont="1" applyNumberFormat="1">
      <alignment readingOrder="0"/>
    </xf>
    <xf borderId="10" fillId="8" fontId="3" numFmtId="164" xfId="0" applyBorder="1" applyFont="1" applyNumberFormat="1"/>
    <xf borderId="10" fillId="8" fontId="3" numFmtId="10" xfId="0" applyAlignment="1" applyBorder="1" applyFont="1" applyNumberFormat="1">
      <alignment readingOrder="0"/>
    </xf>
    <xf borderId="0" fillId="0" fontId="7" numFmtId="0" xfId="0" applyAlignment="1" applyFont="1">
      <alignment shrinkToFit="0" vertical="bottom" wrapText="0"/>
    </xf>
    <xf borderId="0" fillId="0" fontId="6" numFmtId="0" xfId="0" applyAlignment="1" applyFont="1">
      <alignment vertical="bottom"/>
    </xf>
    <xf borderId="26" fillId="0" fontId="6" numFmtId="0" xfId="0" applyAlignment="1" applyBorder="1" applyFont="1">
      <alignment vertical="bottom"/>
    </xf>
    <xf borderId="17" fillId="4" fontId="7" numFmtId="0" xfId="0" applyAlignment="1" applyBorder="1" applyFont="1">
      <alignment vertical="bottom"/>
    </xf>
    <xf borderId="18" fillId="4" fontId="7" numFmtId="0" xfId="0" applyAlignment="1" applyBorder="1" applyFont="1">
      <alignment vertical="bottom"/>
    </xf>
    <xf borderId="26" fillId="13" fontId="7" numFmtId="0" xfId="0" applyAlignment="1" applyBorder="1" applyFill="1" applyFont="1">
      <alignment horizontal="center" vertical="bottom"/>
    </xf>
    <xf borderId="26" fillId="0" fontId="2" numFmtId="0" xfId="0" applyBorder="1" applyFont="1"/>
    <xf borderId="18" fillId="0" fontId="2" numFmtId="0" xfId="0" applyBorder="1" applyFont="1"/>
    <xf borderId="26" fillId="2" fontId="7" numFmtId="0" xfId="0" applyAlignment="1" applyBorder="1" applyFont="1">
      <alignment horizontal="center" vertical="bottom"/>
    </xf>
    <xf borderId="18" fillId="4" fontId="6" numFmtId="0" xfId="0" applyAlignment="1" applyBorder="1" applyFont="1">
      <alignment vertical="bottom"/>
    </xf>
    <xf borderId="26" fillId="3" fontId="7" numFmtId="0" xfId="0" applyAlignment="1" applyBorder="1" applyFont="1">
      <alignment horizontal="center" vertical="bottom"/>
    </xf>
    <xf borderId="17" fillId="4" fontId="6" numFmtId="0" xfId="0" applyAlignment="1" applyBorder="1" applyFont="1">
      <alignment vertical="bottom"/>
    </xf>
    <xf borderId="18" fillId="14" fontId="7" numFmtId="0" xfId="0" applyAlignment="1" applyBorder="1" applyFill="1" applyFont="1">
      <alignment readingOrder="0" shrinkToFit="0" vertical="bottom" wrapText="1"/>
    </xf>
    <xf borderId="18" fillId="7" fontId="7" numFmtId="0" xfId="0" applyAlignment="1" applyBorder="1" applyFont="1">
      <alignment readingOrder="0" shrinkToFit="0" vertical="bottom" wrapText="1"/>
    </xf>
    <xf borderId="18" fillId="14" fontId="6" numFmtId="0" xfId="0" applyAlignment="1" applyBorder="1" applyFont="1">
      <alignment horizontal="right" vertical="bottom"/>
    </xf>
    <xf borderId="18" fillId="7" fontId="6" numFmtId="0" xfId="0" applyAlignment="1" applyBorder="1" applyFont="1">
      <alignment horizontal="right" vertical="bottom"/>
    </xf>
    <xf borderId="18" fillId="14" fontId="6" numFmtId="9" xfId="0" applyAlignment="1" applyBorder="1" applyFont="1" applyNumberFormat="1">
      <alignment horizontal="right" vertical="bottom"/>
    </xf>
    <xf borderId="18" fillId="7" fontId="6" numFmtId="9" xfId="0" applyAlignment="1" applyBorder="1" applyFont="1" applyNumberFormat="1">
      <alignment horizontal="right" vertical="bottom"/>
    </xf>
    <xf borderId="18" fillId="14" fontId="6" numFmtId="10" xfId="0" applyAlignment="1" applyBorder="1" applyFont="1" applyNumberFormat="1">
      <alignment horizontal="right" vertical="bottom"/>
    </xf>
    <xf borderId="18" fillId="7" fontId="6" numFmtId="10" xfId="0" applyAlignment="1" applyBorder="1" applyFont="1" applyNumberFormat="1">
      <alignment horizontal="right" vertical="bottom"/>
    </xf>
    <xf borderId="18" fillId="14" fontId="6" numFmtId="3" xfId="0" applyAlignment="1" applyBorder="1" applyFont="1" applyNumberFormat="1">
      <alignment horizontal="right" vertical="bottom"/>
    </xf>
    <xf borderId="18" fillId="7" fontId="6" numFmtId="3" xfId="0" applyAlignment="1" applyBorder="1" applyFont="1" applyNumberFormat="1">
      <alignment horizontal="right" vertical="bottom"/>
    </xf>
    <xf borderId="18" fillId="14" fontId="6" numFmtId="164" xfId="0" applyAlignment="1" applyBorder="1" applyFont="1" applyNumberFormat="1">
      <alignment horizontal="right" vertical="bottom"/>
    </xf>
    <xf borderId="18" fillId="7" fontId="6" numFmtId="164" xfId="0" applyAlignment="1" applyBorder="1" applyFont="1" applyNumberFormat="1">
      <alignment horizontal="right" vertical="bottom"/>
    </xf>
    <xf borderId="18" fillId="14" fontId="7" numFmtId="3" xfId="0" applyAlignment="1" applyBorder="1" applyFont="1" applyNumberFormat="1">
      <alignment shrinkToFit="0" vertical="bottom" wrapText="1"/>
    </xf>
    <xf borderId="18" fillId="7" fontId="7" numFmtId="3" xfId="0" applyAlignment="1" applyBorder="1" applyFont="1" applyNumberFormat="1">
      <alignment horizontal="right" vertical="bottom"/>
    </xf>
    <xf borderId="18" fillId="14" fontId="13" numFmtId="3" xfId="0" applyAlignment="1" applyBorder="1" applyFont="1" applyNumberFormat="1">
      <alignment horizontal="right" vertical="bottom"/>
    </xf>
    <xf borderId="10" fillId="14" fontId="13" numFmtId="3" xfId="0" applyAlignment="1" applyBorder="1" applyFont="1" applyNumberFormat="1">
      <alignment horizontal="right" vertical="bottom"/>
    </xf>
    <xf borderId="18" fillId="7" fontId="7" numFmtId="9" xfId="0" applyAlignment="1" applyBorder="1" applyFont="1" applyNumberFormat="1">
      <alignment horizontal="right" vertical="bottom"/>
    </xf>
    <xf borderId="18" fillId="14" fontId="7" numFmtId="3" xfId="0" applyAlignment="1" applyBorder="1" applyFont="1" applyNumberFormat="1">
      <alignment horizontal="right" vertical="bottom"/>
    </xf>
    <xf borderId="18" fillId="14" fontId="7" numFmtId="9" xfId="0" applyAlignment="1" applyBorder="1" applyFont="1" applyNumberFormat="1">
      <alignment horizontal="right" vertical="bottom"/>
    </xf>
    <xf borderId="18" fillId="7" fontId="7" numFmtId="0" xfId="0" applyAlignment="1" applyBorder="1" applyFont="1">
      <alignment horizontal="right" vertical="bottom"/>
    </xf>
    <xf borderId="18" fillId="14" fontId="7" numFmtId="0" xfId="0" applyAlignment="1" applyBorder="1" applyFont="1">
      <alignment horizontal="right" vertical="bottom"/>
    </xf>
    <xf borderId="18" fillId="14" fontId="7" numFmtId="10" xfId="0" applyAlignment="1" applyBorder="1" applyFont="1" applyNumberFormat="1">
      <alignment horizontal="right" vertical="bottom"/>
    </xf>
    <xf borderId="18" fillId="7" fontId="7" numFmtId="10" xfId="0" applyAlignment="1" applyBorder="1" applyFont="1" applyNumberFormat="1">
      <alignment horizontal="right" vertical="bottom"/>
    </xf>
    <xf borderId="18" fillId="14" fontId="7" numFmtId="164" xfId="0" applyAlignment="1" applyBorder="1" applyFont="1" applyNumberFormat="1">
      <alignment horizontal="right" vertical="bottom"/>
    </xf>
    <xf borderId="18" fillId="7" fontId="7" numFmtId="164" xfId="0" applyAlignment="1" applyBorder="1" applyFont="1" applyNumberFormat="1">
      <alignment horizontal="right" vertical="bottom"/>
    </xf>
    <xf borderId="18" fillId="15" fontId="6" numFmtId="0" xfId="0" applyAlignment="1" applyBorder="1" applyFill="1" applyFont="1">
      <alignment vertical="bottom"/>
    </xf>
    <xf borderId="10" fillId="14" fontId="14" numFmtId="3" xfId="0" applyAlignment="1" applyBorder="1" applyFont="1" applyNumberFormat="1">
      <alignment horizontal="right" vertical="bottom"/>
    </xf>
    <xf borderId="18" fillId="14" fontId="14" numFmtId="9" xfId="0" applyAlignment="1" applyBorder="1" applyFont="1" applyNumberFormat="1">
      <alignment horizontal="right" readingOrder="0" shrinkToFit="0" vertical="bottom" wrapText="1"/>
    </xf>
    <xf borderId="10" fillId="14" fontId="14" numFmtId="3" xfId="0" applyAlignment="1" applyBorder="1" applyFont="1" applyNumberFormat="1">
      <alignment horizontal="right" shrinkToFit="0" vertical="bottom" wrapText="1"/>
    </xf>
    <xf borderId="18" fillId="14" fontId="14" numFmtId="9" xfId="0" applyAlignment="1" applyBorder="1" applyFont="1" applyNumberFormat="1">
      <alignment horizontal="right" readingOrder="0" vertical="bottom"/>
    </xf>
    <xf borderId="18" fillId="14" fontId="6" numFmtId="0" xfId="0" applyAlignment="1" applyBorder="1" applyFont="1">
      <alignment horizontal="right" readingOrder="0" vertical="bottom"/>
    </xf>
    <xf borderId="18" fillId="7" fontId="6" numFmtId="0" xfId="0" applyAlignment="1" applyBorder="1" applyFont="1">
      <alignment horizontal="right" readingOrder="0" vertical="bottom"/>
    </xf>
    <xf borderId="10" fillId="14" fontId="14" numFmtId="9" xfId="0" applyAlignment="1" applyBorder="1" applyFont="1" applyNumberFormat="1">
      <alignment horizontal="right" vertical="bottom"/>
    </xf>
    <xf borderId="18" fillId="14" fontId="6" numFmtId="9" xfId="0" applyAlignment="1" applyBorder="1" applyFont="1" applyNumberFormat="1">
      <alignment horizontal="right" readingOrder="0" vertical="bottom"/>
    </xf>
    <xf borderId="18" fillId="14" fontId="6" numFmtId="3" xfId="0" applyAlignment="1" applyBorder="1" applyFont="1" applyNumberFormat="1">
      <alignment horizontal="right" readingOrder="0" vertical="bottom"/>
    </xf>
    <xf borderId="10" fillId="14" fontId="14" numFmtId="9" xfId="0" applyAlignment="1" applyBorder="1" applyFont="1" applyNumberFormat="1">
      <alignment horizontal="right" shrinkToFit="0" vertical="bottom" wrapText="1"/>
    </xf>
    <xf borderId="10" fillId="14" fontId="14" numFmtId="9" xfId="0" applyAlignment="1" applyBorder="1" applyFont="1" applyNumberFormat="1">
      <alignment vertical="bottom"/>
    </xf>
    <xf borderId="10" fillId="14" fontId="14" numFmtId="9" xfId="0" applyAlignment="1" applyBorder="1" applyFont="1" applyNumberFormat="1">
      <alignment readingOrder="0" vertical="bottom"/>
    </xf>
    <xf borderId="10" fillId="14" fontId="14" numFmtId="3" xfId="0" applyAlignment="1" applyBorder="1" applyFont="1" applyNumberFormat="1">
      <alignment readingOrder="0" vertical="bottom"/>
    </xf>
    <xf borderId="10" fillId="14" fontId="14" numFmtId="0" xfId="0" applyAlignment="1" applyBorder="1" applyFont="1">
      <alignment readingOrder="0" vertical="bottom"/>
    </xf>
    <xf borderId="18" fillId="14" fontId="7" numFmtId="9" xfId="0" applyAlignment="1" applyBorder="1" applyFont="1" applyNumberFormat="1">
      <alignment horizontal="right" readingOrder="0" vertical="bottom"/>
    </xf>
    <xf borderId="18" fillId="14" fontId="7" numFmtId="1" xfId="0" applyAlignment="1" applyBorder="1" applyFont="1" applyNumberFormat="1">
      <alignment horizontal="right" vertical="bottom"/>
    </xf>
    <xf borderId="5" fillId="4" fontId="7" numFmtId="0" xfId="0" applyAlignment="1" applyBorder="1" applyFont="1">
      <alignment horizontal="center" readingOrder="0" vertical="bottom"/>
    </xf>
    <xf borderId="10" fillId="14" fontId="7" numFmtId="3" xfId="0" applyAlignment="1" applyBorder="1" applyFont="1" applyNumberFormat="1">
      <alignment horizontal="right" vertical="bottom"/>
    </xf>
    <xf borderId="10" fillId="7" fontId="7" numFmtId="3" xfId="0" applyAlignment="1" applyBorder="1" applyFont="1" applyNumberFormat="1">
      <alignment horizontal="right" readingOrder="0" vertical="bottom"/>
    </xf>
    <xf borderId="10" fillId="14" fontId="7" numFmtId="10" xfId="0" applyAlignment="1" applyBorder="1" applyFont="1" applyNumberFormat="1">
      <alignment horizontal="right" readingOrder="0" vertical="bottom"/>
    </xf>
    <xf borderId="10" fillId="7" fontId="7" numFmtId="10" xfId="0" applyAlignment="1" applyBorder="1" applyFont="1" applyNumberFormat="1">
      <alignment horizontal="right" readingOrder="0" vertical="bottom"/>
    </xf>
    <xf borderId="10" fillId="7" fontId="7" numFmtId="3" xfId="0" applyAlignment="1" applyBorder="1" applyFont="1" applyNumberFormat="1">
      <alignment horizontal="right" vertical="bottom"/>
    </xf>
    <xf borderId="10" fillId="14" fontId="7" numFmtId="10" xfId="0" applyAlignment="1" applyBorder="1" applyFont="1" applyNumberFormat="1">
      <alignment horizontal="right" vertical="bottom"/>
    </xf>
    <xf borderId="10" fillId="7" fontId="7" numFmtId="10" xfId="0" applyAlignment="1" applyBorder="1" applyFont="1" applyNumberFormat="1">
      <alignment horizontal="right" vertical="bottom"/>
    </xf>
    <xf borderId="10" fillId="14" fontId="7" numFmtId="9" xfId="0" applyAlignment="1" applyBorder="1" applyFont="1" applyNumberFormat="1">
      <alignment horizontal="right" vertical="bottom"/>
    </xf>
    <xf borderId="10" fillId="14" fontId="7" numFmtId="3" xfId="0" applyAlignment="1" applyBorder="1" applyFont="1" applyNumberFormat="1">
      <alignment horizontal="right" readingOrder="0" vertical="bottom"/>
    </xf>
    <xf borderId="10" fillId="14" fontId="7" numFmtId="0" xfId="0" applyAlignment="1" applyBorder="1" applyFont="1">
      <alignment horizontal="right" readingOrder="0" vertical="bottom"/>
    </xf>
    <xf borderId="10" fillId="7" fontId="7" numFmtId="9" xfId="0" applyAlignment="1" applyBorder="1" applyFont="1" applyNumberFormat="1">
      <alignment horizontal="right" vertical="bottom"/>
    </xf>
    <xf borderId="10" fillId="7" fontId="1" numFmtId="164" xfId="0" applyBorder="1" applyFont="1" applyNumberFormat="1"/>
    <xf borderId="10" fillId="7" fontId="7" numFmtId="164" xfId="0" applyAlignment="1" applyBorder="1" applyFont="1" applyNumberFormat="1">
      <alignment horizontal="right" vertical="bottom"/>
    </xf>
    <xf borderId="10" fillId="14" fontId="7" numFmtId="9" xfId="0" applyAlignment="1" applyBorder="1" applyFont="1" applyNumberFormat="1">
      <alignment horizontal="right" readingOrder="0" vertical="bottom"/>
    </xf>
    <xf borderId="10" fillId="7" fontId="7" numFmtId="164" xfId="0" applyAlignment="1" applyBorder="1" applyFont="1" applyNumberFormat="1">
      <alignment horizontal="right" readingOrder="0" vertical="bottom"/>
    </xf>
    <xf borderId="10" fillId="7" fontId="7" numFmtId="9" xfId="0" applyAlignment="1" applyBorder="1" applyFont="1" applyNumberFormat="1">
      <alignment horizontal="right" readingOrder="0" vertical="bottom"/>
    </xf>
    <xf borderId="10" fillId="7" fontId="7" numFmtId="0" xfId="0" applyAlignment="1" applyBorder="1" applyFont="1">
      <alignment horizontal="right" vertical="bottom"/>
    </xf>
    <xf borderId="0" fillId="0" fontId="3" numFmtId="3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6" numFmtId="3" xfId="0" applyAlignment="1" applyFont="1" applyNumberFormat="1">
      <alignment horizontal="right" readingOrder="0" vertical="bottom"/>
    </xf>
    <xf borderId="0" fillId="16" fontId="6" numFmtId="0" xfId="0" applyAlignment="1" applyFill="1" applyFont="1">
      <alignment horizontal="right" readingOrder="0" vertical="bottom"/>
    </xf>
    <xf borderId="7" fillId="16" fontId="6" numFmtId="9" xfId="0" applyAlignment="1" applyBorder="1" applyFont="1" applyNumberFormat="1">
      <alignment horizontal="right" vertical="bottom"/>
    </xf>
    <xf borderId="19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readingOrder="0" shrinkToFit="0" vertical="center" wrapText="1"/>
    </xf>
    <xf borderId="24" fillId="0" fontId="15" numFmtId="0" xfId="0" applyAlignment="1" applyBorder="1" applyFont="1">
      <alignment readingOrder="0" shrinkToFit="0" vertical="center" wrapText="1"/>
    </xf>
    <xf borderId="18" fillId="0" fontId="6" numFmtId="9" xfId="0" applyAlignment="1" applyBorder="1" applyFont="1" applyNumberFormat="1">
      <alignment horizontal="right" vertical="bottom"/>
    </xf>
    <xf borderId="12" fillId="0" fontId="6" numFmtId="0" xfId="0" applyAlignment="1" applyBorder="1" applyFont="1">
      <alignment shrinkToFit="0" vertical="center" wrapText="1"/>
    </xf>
    <xf borderId="10" fillId="0" fontId="6" numFmtId="0" xfId="0" applyAlignment="1" applyBorder="1" applyFont="1">
      <alignment horizontal="center" vertical="center"/>
    </xf>
    <xf borderId="10" fillId="0" fontId="6" numFmtId="9" xfId="0" applyAlignment="1" applyBorder="1" applyFont="1" applyNumberFormat="1">
      <alignment horizontal="center" vertical="center"/>
    </xf>
    <xf borderId="11" fillId="0" fontId="3" numFmtId="9" xfId="0" applyAlignment="1" applyBorder="1" applyFont="1" applyNumberFormat="1">
      <alignment horizontal="center" vertical="center"/>
    </xf>
    <xf borderId="17" fillId="12" fontId="6" numFmtId="3" xfId="0" applyAlignment="1" applyBorder="1" applyFont="1" applyNumberFormat="1">
      <alignment horizontal="right" vertical="bottom"/>
    </xf>
    <xf borderId="18" fillId="17" fontId="6" numFmtId="9" xfId="0" applyAlignment="1" applyBorder="1" applyFill="1" applyFont="1" applyNumberFormat="1">
      <alignment horizontal="right" vertical="bottom"/>
    </xf>
    <xf borderId="12" fillId="0" fontId="6" numFmtId="0" xfId="0" applyAlignment="1" applyBorder="1" applyFont="1">
      <alignment vertical="center"/>
    </xf>
    <xf borderId="17" fillId="7" fontId="6" numFmtId="3" xfId="0" applyAlignment="1" applyBorder="1" applyFont="1" applyNumberFormat="1">
      <alignment horizontal="right" vertical="bottom"/>
    </xf>
    <xf borderId="18" fillId="16" fontId="6" numFmtId="9" xfId="0" applyAlignment="1" applyBorder="1" applyFont="1" applyNumberFormat="1">
      <alignment horizontal="right" vertical="bottom"/>
    </xf>
    <xf borderId="17" fillId="6" fontId="6" numFmtId="3" xfId="0" applyAlignment="1" applyBorder="1" applyFont="1" applyNumberFormat="1">
      <alignment horizontal="right" vertical="bottom"/>
    </xf>
    <xf borderId="18" fillId="6" fontId="6" numFmtId="9" xfId="0" applyAlignment="1" applyBorder="1" applyFont="1" applyNumberFormat="1">
      <alignment horizontal="right" vertical="bottom"/>
    </xf>
    <xf borderId="13" fillId="0" fontId="6" numFmtId="0" xfId="0" applyAlignment="1" applyBorder="1" applyFont="1">
      <alignment vertical="center"/>
    </xf>
    <xf borderId="15" fillId="0" fontId="6" numFmtId="0" xfId="0" applyAlignment="1" applyBorder="1" applyFont="1">
      <alignment horizontal="center" vertical="center"/>
    </xf>
    <xf borderId="15" fillId="0" fontId="6" numFmtId="9" xfId="0" applyAlignment="1" applyBorder="1" applyFont="1" applyNumberFormat="1">
      <alignment horizontal="center" vertical="center"/>
    </xf>
    <xf borderId="16" fillId="0" fontId="3" numFmtId="9" xfId="0" applyAlignment="1" applyBorder="1" applyFont="1" applyNumberFormat="1">
      <alignment horizontal="center" vertical="center"/>
    </xf>
    <xf borderId="18" fillId="18" fontId="6" numFmtId="9" xfId="0" applyAlignment="1" applyBorder="1" applyFill="1" applyFont="1" applyNumberFormat="1">
      <alignment horizontal="right" vertical="bottom"/>
    </xf>
    <xf borderId="19" fillId="0" fontId="1" numFmtId="0" xfId="0" applyAlignment="1" applyBorder="1" applyFont="1">
      <alignment horizontal="center" readingOrder="0" shrinkToFit="0" wrapText="0"/>
    </xf>
    <xf borderId="27" fillId="0" fontId="1" numFmtId="0" xfId="0" applyAlignment="1" applyBorder="1" applyFont="1">
      <alignment horizontal="center" readingOrder="0" shrinkToFit="0" wrapText="0"/>
    </xf>
    <xf borderId="24" fillId="0" fontId="1" numFmtId="0" xfId="0" applyAlignment="1" applyBorder="1" applyFont="1">
      <alignment horizontal="center" readingOrder="0" shrinkToFit="0" wrapText="0"/>
    </xf>
    <xf borderId="4" fillId="0" fontId="6" numFmtId="3" xfId="0" applyAlignment="1" applyBorder="1" applyFont="1" applyNumberFormat="1">
      <alignment horizontal="center" vertical="center"/>
    </xf>
    <xf borderId="10" fillId="0" fontId="6" numFmtId="3" xfId="0" applyAlignment="1" applyBorder="1" applyFont="1" applyNumberFormat="1">
      <alignment horizontal="center"/>
    </xf>
    <xf borderId="10" fillId="0" fontId="6" numFmtId="3" xfId="0" applyAlignment="1" applyBorder="1" applyFont="1" applyNumberFormat="1">
      <alignment horizontal="center" vertical="bottom"/>
    </xf>
    <xf borderId="11" fillId="0" fontId="6" numFmtId="3" xfId="0" applyAlignment="1" applyBorder="1" applyFont="1" applyNumberFormat="1">
      <alignment horizontal="center" vertical="bottom"/>
    </xf>
    <xf borderId="28" fillId="0" fontId="2" numFmtId="0" xfId="0" applyBorder="1" applyFont="1"/>
    <xf borderId="15" fillId="0" fontId="6" numFmtId="9" xfId="0" applyAlignment="1" applyBorder="1" applyFont="1" applyNumberFormat="1">
      <alignment horizontal="center"/>
    </xf>
    <xf borderId="15" fillId="0" fontId="6" numFmtId="9" xfId="0" applyAlignment="1" applyBorder="1" applyFont="1" applyNumberFormat="1">
      <alignment horizontal="center" vertical="bottom"/>
    </xf>
    <xf borderId="16" fillId="0" fontId="6" numFmtId="9" xfId="0" applyAlignment="1" applyBorder="1" applyFont="1" applyNumberFormat="1">
      <alignment horizontal="center" vertical="bottom"/>
    </xf>
    <xf borderId="18" fillId="0" fontId="7" numFmtId="9" xfId="0" applyAlignment="1" applyBorder="1" applyFont="1" applyNumberFormat="1">
      <alignment horizontal="right" vertical="bottom"/>
    </xf>
    <xf borderId="18" fillId="5" fontId="7" numFmtId="0" xfId="0" applyAlignment="1" applyBorder="1" applyFont="1">
      <alignment horizontal="center" vertical="bottom"/>
    </xf>
    <xf borderId="18" fillId="5" fontId="7" numFmtId="0" xfId="0" applyAlignment="1" applyBorder="1" applyFont="1">
      <alignment readingOrder="0" vertical="bottom"/>
    </xf>
    <xf borderId="18" fillId="8" fontId="6" numFmtId="3" xfId="0" applyAlignment="1" applyBorder="1" applyFont="1" applyNumberFormat="1">
      <alignment horizontal="right" shrinkToFit="0" vertical="bottom" wrapText="1"/>
    </xf>
    <xf borderId="18" fillId="0" fontId="7" numFmtId="3" xfId="0" applyAlignment="1" applyBorder="1" applyFont="1" applyNumberFormat="1">
      <alignment horizontal="right" vertical="bottom"/>
    </xf>
    <xf borderId="18" fillId="8" fontId="7" numFmtId="3" xfId="0" applyAlignment="1" applyBorder="1" applyFont="1" applyNumberFormat="1">
      <alignment horizontal="right" vertical="bottom"/>
    </xf>
    <xf borderId="18" fillId="8" fontId="7" numFmtId="3" xfId="0" applyAlignment="1" applyBorder="1" applyFont="1" applyNumberFormat="1">
      <alignment horizontal="right" shrinkToFit="0" vertical="bottom" wrapText="1"/>
    </xf>
    <xf borderId="29" fillId="5" fontId="7" numFmtId="0" xfId="0" applyAlignment="1" applyBorder="1" applyFont="1">
      <alignment horizontal="center" shrinkToFit="0" vertical="bottom" wrapText="1"/>
    </xf>
    <xf borderId="30" fillId="5" fontId="7" numFmtId="0" xfId="0" applyAlignment="1" applyBorder="1" applyFont="1">
      <alignment horizontal="center" shrinkToFit="0" vertical="bottom" wrapText="1"/>
    </xf>
    <xf borderId="6" fillId="19" fontId="7" numFmtId="0" xfId="0" applyAlignment="1" applyBorder="1" applyFill="1" applyFont="1">
      <alignment horizontal="center" vertical="bottom"/>
    </xf>
    <xf borderId="31" fillId="0" fontId="2" numFmtId="0" xfId="0" applyBorder="1" applyFont="1"/>
    <xf borderId="32" fillId="0" fontId="2" numFmtId="0" xfId="0" applyBorder="1" applyFont="1"/>
    <xf borderId="18" fillId="19" fontId="7" numFmtId="0" xfId="0" applyAlignment="1" applyBorder="1" applyFont="1">
      <alignment horizontal="center" readingOrder="0" shrinkToFit="0" vertical="bottom" wrapText="1"/>
    </xf>
    <xf borderId="0" fillId="0" fontId="16" numFmtId="0" xfId="0" applyAlignment="1" applyFont="1">
      <alignment horizontal="right" readingOrder="0" shrinkToFit="0" vertical="bottom" wrapText="0"/>
    </xf>
    <xf borderId="17" fillId="0" fontId="2" numFmtId="0" xfId="0" applyBorder="1" applyFont="1"/>
    <xf borderId="26" fillId="19" fontId="7" numFmtId="0" xfId="0" applyAlignment="1" applyBorder="1" applyFont="1">
      <alignment horizontal="center" shrinkToFit="0" vertical="bottom" wrapText="1"/>
    </xf>
    <xf borderId="17" fillId="0" fontId="6" numFmtId="0" xfId="0" applyAlignment="1" applyBorder="1" applyFont="1">
      <alignment horizontal="center" vertical="bottom"/>
    </xf>
    <xf borderId="18" fillId="0" fontId="6" numFmtId="0" xfId="0" applyAlignment="1" applyBorder="1" applyFont="1">
      <alignment horizontal="center" vertical="bottom"/>
    </xf>
    <xf borderId="18" fillId="0" fontId="6" numFmtId="1" xfId="0" applyAlignment="1" applyBorder="1" applyFont="1" applyNumberFormat="1">
      <alignment shrinkToFit="0" vertical="bottom" wrapText="1"/>
    </xf>
    <xf borderId="10" fillId="0" fontId="6" numFmtId="0" xfId="0" applyAlignment="1" applyBorder="1" applyFont="1">
      <alignment readingOrder="0"/>
    </xf>
    <xf borderId="18" fillId="8" fontId="6" numFmtId="0" xfId="0" applyAlignment="1" applyBorder="1" applyFont="1">
      <alignment horizontal="right" vertical="bottom"/>
    </xf>
    <xf borderId="18" fillId="0" fontId="6" numFmtId="0" xfId="0" applyAlignment="1" applyBorder="1" applyFont="1">
      <alignment horizontal="right" vertical="bottom"/>
    </xf>
    <xf borderId="10" fillId="10" fontId="6" numFmtId="0" xfId="0" applyAlignment="1" applyBorder="1" applyFont="1">
      <alignment readingOrder="0"/>
    </xf>
    <xf borderId="18" fillId="10" fontId="6" numFmtId="0" xfId="0" applyAlignment="1" applyBorder="1" applyFont="1">
      <alignment horizontal="right" vertical="bottom"/>
    </xf>
    <xf borderId="18" fillId="18" fontId="6" numFmtId="0" xfId="0" applyAlignment="1" applyBorder="1" applyFont="1">
      <alignment horizontal="right" vertical="bottom"/>
    </xf>
    <xf borderId="10" fillId="4" fontId="6" numFmtId="0" xfId="0" applyAlignment="1" applyBorder="1" applyFont="1">
      <alignment readingOrder="0"/>
    </xf>
    <xf borderId="10" fillId="18" fontId="6" numFmtId="0" xfId="0" applyAlignment="1" applyBorder="1" applyFont="1">
      <alignment readingOrder="0"/>
    </xf>
    <xf borderId="17" fillId="0" fontId="6" numFmtId="0" xfId="0" applyAlignment="1" applyBorder="1" applyFont="1">
      <alignment horizontal="center" vertical="bottom"/>
    </xf>
    <xf borderId="18" fillId="0" fontId="6" numFmtId="0" xfId="0" applyAlignment="1" applyBorder="1" applyFont="1">
      <alignment shrinkToFit="0" vertical="bottom" wrapText="1"/>
    </xf>
    <xf borderId="5" fillId="0" fontId="7" numFmtId="0" xfId="0" applyAlignment="1" applyBorder="1" applyFont="1">
      <alignment horizontal="center" readingOrder="0" vertical="bottom"/>
    </xf>
    <xf borderId="10" fillId="0" fontId="7" numFmtId="0" xfId="0" applyAlignment="1" applyBorder="1" applyFont="1">
      <alignment horizontal="right" readingOrder="0" vertical="bottom"/>
    </xf>
    <xf borderId="10" fillId="8" fontId="7" numFmtId="0" xfId="0" applyAlignment="1" applyBorder="1" applyFont="1">
      <alignment horizontal="right" vertical="bottom"/>
    </xf>
    <xf borderId="0" fillId="0" fontId="1" numFmtId="0" xfId="0" applyFont="1"/>
    <xf borderId="10" fillId="0" fontId="7" numFmtId="0" xfId="0" applyAlignment="1" applyBorder="1" applyFont="1">
      <alignment horizontal="center" readingOrder="0" shrinkToFit="0" vertical="bottom" wrapText="1"/>
    </xf>
    <xf borderId="10" fillId="0" fontId="7" numFmtId="0" xfId="0" applyAlignment="1" applyBorder="1" applyFont="1">
      <alignment horizontal="center" shrinkToFit="0" vertical="bottom" wrapText="1"/>
    </xf>
    <xf borderId="10" fillId="0" fontId="17" numFmtId="0" xfId="0" applyAlignment="1" applyBorder="1" applyFont="1">
      <alignment horizontal="center" readingOrder="0" shrinkToFit="0" wrapText="1"/>
    </xf>
    <xf borderId="10" fillId="0" fontId="7" numFmtId="0" xfId="0" applyAlignment="1" applyBorder="1" applyFont="1">
      <alignment readingOrder="0"/>
    </xf>
    <xf borderId="10" fillId="0" fontId="3" numFmtId="3" xfId="0" applyBorder="1" applyFont="1" applyNumberFormat="1"/>
    <xf borderId="10" fillId="0" fontId="6" numFmtId="3" xfId="0" applyBorder="1" applyFont="1" applyNumberFormat="1"/>
    <xf borderId="10" fillId="0" fontId="6" numFmtId="3" xfId="0" applyAlignment="1" applyBorder="1" applyFont="1" applyNumberFormat="1">
      <alignment horizontal="right" readingOrder="0"/>
    </xf>
    <xf borderId="18" fillId="0" fontId="3" numFmtId="0" xfId="0" applyBorder="1" applyFont="1"/>
    <xf borderId="17" fillId="0" fontId="1" numFmtId="0" xfId="0" applyAlignment="1" applyBorder="1" applyFont="1">
      <alignment horizontal="right" readingOrder="0"/>
    </xf>
    <xf borderId="10" fillId="0" fontId="7" numFmtId="3" xfId="0" applyAlignment="1" applyBorder="1" applyFont="1" applyNumberFormat="1">
      <alignment horizontal="right" readingOrder="0"/>
    </xf>
    <xf borderId="29" fillId="0" fontId="3" numFmtId="0" xfId="0" applyBorder="1" applyFont="1"/>
    <xf borderId="29" fillId="0" fontId="1" numFmtId="0" xfId="0" applyAlignment="1" applyBorder="1" applyFont="1">
      <alignment horizontal="center" readingOrder="0"/>
    </xf>
    <xf borderId="10" fillId="0" fontId="18" numFmtId="0" xfId="0" applyAlignment="1" applyBorder="1" applyFont="1">
      <alignment horizontal="center" readingOrder="0"/>
    </xf>
    <xf borderId="10" fillId="0" fontId="18" numFmtId="0" xfId="0" applyAlignment="1" applyBorder="1" applyFont="1">
      <alignment horizontal="center" readingOrder="0" shrinkToFit="0" vertical="bottom" wrapText="1"/>
    </xf>
    <xf borderId="10" fillId="0" fontId="3" numFmtId="3" xfId="0" applyAlignment="1" applyBorder="1" applyFont="1" applyNumberFormat="1">
      <alignment horizontal="center"/>
    </xf>
    <xf borderId="10" fillId="0" fontId="18" numFmtId="0" xfId="0" applyAlignment="1" applyBorder="1" applyFont="1">
      <alignment horizontal="center" readingOrder="0" shrinkToFit="0" wrapText="1"/>
    </xf>
    <xf borderId="7" fillId="0" fontId="6" numFmtId="3" xfId="0" applyBorder="1" applyFont="1" applyNumberFormat="1"/>
    <xf borderId="10" fillId="0" fontId="1" numFmtId="0" xfId="0" applyAlignment="1" applyBorder="1" applyFont="1">
      <alignment horizontal="right" readingOrder="0"/>
    </xf>
    <xf borderId="10" fillId="0" fontId="18" numFmtId="0" xfId="0" applyAlignment="1" applyBorder="1" applyFont="1">
      <alignment horizontal="center" shrinkToFit="0" vertical="bottom" wrapText="1"/>
    </xf>
    <xf borderId="10" fillId="0" fontId="6" numFmtId="9" xfId="0" applyAlignment="1" applyBorder="1" applyFont="1" applyNumberFormat="1">
      <alignment horizontal="center" readingOrder="0"/>
    </xf>
    <xf borderId="10" fillId="0" fontId="6" numFmtId="9" xfId="0" applyAlignment="1" applyBorder="1" applyFont="1" applyNumberFormat="1">
      <alignment horizontal="center"/>
    </xf>
    <xf borderId="7" fillId="0" fontId="6" numFmtId="3" xfId="0" applyAlignment="1" applyBorder="1" applyFont="1" applyNumberFormat="1">
      <alignment horizontal="right" readingOrder="0"/>
    </xf>
    <xf borderId="10" fillId="0" fontId="19" numFmtId="0" xfId="0" applyAlignment="1" applyBorder="1" applyFont="1">
      <alignment horizontal="center" readingOrder="0" shrinkToFit="0" wrapText="1"/>
    </xf>
    <xf borderId="10" fillId="0" fontId="3" numFmtId="9" xfId="0" applyAlignment="1" applyBorder="1" applyFont="1" applyNumberFormat="1">
      <alignment horizontal="center"/>
    </xf>
    <xf borderId="7" fillId="0" fontId="3" numFmtId="3" xfId="0" applyBorder="1" applyFont="1" applyNumberFormat="1"/>
    <xf borderId="10" fillId="0" fontId="6" numFmtId="164" xfId="0" applyAlignment="1" applyBorder="1" applyFont="1" applyNumberFormat="1">
      <alignment horizontal="center" readingOrder="0"/>
    </xf>
    <xf borderId="10" fillId="0" fontId="6" numFmtId="164" xfId="0" applyAlignment="1" applyBorder="1" applyFont="1" applyNumberFormat="1">
      <alignment horizontal="center"/>
    </xf>
    <xf borderId="33" fillId="0" fontId="3" numFmtId="0" xfId="0" applyBorder="1" applyFont="1"/>
    <xf borderId="30" fillId="0" fontId="2" numFmtId="0" xfId="0" applyBorder="1" applyFont="1"/>
    <xf borderId="7" fillId="0" fontId="3" numFmtId="0" xfId="0" applyBorder="1" applyFont="1"/>
    <xf borderId="25" fillId="0" fontId="2" numFmtId="0" xfId="0" applyBorder="1" applyFont="1"/>
    <xf borderId="0" fillId="0" fontId="13" numFmtId="0" xfId="0" applyAlignment="1" applyFont="1">
      <alignment horizontal="center" vertical="bottom"/>
    </xf>
    <xf borderId="0" fillId="0" fontId="9" numFmtId="0" xfId="0" applyAlignment="1" applyFont="1">
      <alignment horizontal="center" vertical="bottom"/>
    </xf>
    <xf borderId="34" fillId="0" fontId="20" numFmtId="0" xfId="0" applyAlignment="1" applyBorder="1" applyFont="1">
      <alignment horizontal="center" readingOrder="0" shrinkToFit="0" vertical="bottom" wrapText="1"/>
    </xf>
    <xf borderId="35" fillId="0" fontId="2" numFmtId="0" xfId="0" applyBorder="1" applyFont="1"/>
    <xf borderId="36" fillId="0" fontId="2" numFmtId="0" xfId="0" applyBorder="1" applyFont="1"/>
    <xf borderId="0" fillId="0" fontId="21" numFmtId="0" xfId="0" applyAlignment="1" applyFont="1">
      <alignment horizontal="center" readingOrder="0" vertical="center"/>
    </xf>
    <xf borderId="12" fillId="0" fontId="21" numFmtId="0" xfId="0" applyAlignment="1" applyBorder="1" applyFont="1">
      <alignment horizontal="center" readingOrder="0" vertical="center"/>
    </xf>
    <xf borderId="7" fillId="0" fontId="9" numFmtId="0" xfId="0" applyAlignment="1" applyBorder="1" applyFont="1">
      <alignment horizontal="center" vertical="bottom"/>
    </xf>
    <xf borderId="7" fillId="0" fontId="13" numFmtId="0" xfId="0" applyAlignment="1" applyBorder="1" applyFont="1">
      <alignment horizontal="center" vertical="bottom"/>
    </xf>
    <xf borderId="10" fillId="0" fontId="13" numFmtId="0" xfId="0" applyAlignment="1" applyBorder="1" applyFont="1">
      <alignment horizontal="center" shrinkToFit="0" vertical="bottom" wrapText="1"/>
    </xf>
    <xf borderId="5" fillId="0" fontId="13" numFmtId="0" xfId="0" applyAlignment="1" applyBorder="1" applyFont="1">
      <alignment horizontal="center" shrinkToFit="0" vertical="bottom" wrapText="1"/>
    </xf>
    <xf borderId="5" fillId="0" fontId="13" numFmtId="0" xfId="0" applyAlignment="1" applyBorder="1" applyFont="1">
      <alignment horizontal="center" readingOrder="0" shrinkToFit="0" vertical="bottom" wrapText="1"/>
    </xf>
    <xf borderId="10" fillId="0" fontId="3" numFmtId="0" xfId="0" applyAlignment="1" applyBorder="1" applyFont="1">
      <alignment horizontal="center"/>
    </xf>
    <xf borderId="10" fillId="0" fontId="13" numFmtId="0" xfId="0" applyAlignment="1" applyBorder="1" applyFont="1">
      <alignment horizontal="center" shrinkToFit="0" vertical="bottom" wrapText="1"/>
    </xf>
    <xf borderId="0" fillId="0" fontId="21" numFmtId="0" xfId="0" applyAlignment="1" applyFont="1">
      <alignment horizontal="center" vertical="bottom"/>
    </xf>
    <xf borderId="22" fillId="0" fontId="21" numFmtId="0" xfId="0" applyAlignment="1" applyBorder="1" applyFont="1">
      <alignment horizontal="center" vertical="bottom"/>
    </xf>
    <xf borderId="0" fillId="0" fontId="14" numFmtId="0" xfId="0" applyAlignment="1" applyFont="1">
      <alignment horizontal="left" readingOrder="0" vertical="bottom"/>
    </xf>
    <xf borderId="9" fillId="0" fontId="22" numFmtId="0" xfId="0" applyAlignment="1" applyBorder="1" applyFont="1">
      <alignment horizontal="left" readingOrder="0" vertical="bottom"/>
    </xf>
    <xf borderId="18" fillId="0" fontId="22" numFmtId="0" xfId="0" applyAlignment="1" applyBorder="1" applyFont="1">
      <alignment horizontal="center" vertical="bottom"/>
    </xf>
    <xf borderId="10" fillId="0" fontId="22" numFmtId="9" xfId="0" applyAlignment="1" applyBorder="1" applyFont="1" applyNumberFormat="1">
      <alignment horizontal="center" vertical="bottom"/>
    </xf>
    <xf borderId="0" fillId="0" fontId="11" numFmtId="0" xfId="0" applyAlignment="1" applyFont="1">
      <alignment horizontal="center"/>
    </xf>
    <xf borderId="7" fillId="0" fontId="22" numFmtId="9" xfId="0" applyAlignment="1" applyBorder="1" applyFont="1" applyNumberFormat="1">
      <alignment horizontal="center" vertical="bottom"/>
    </xf>
    <xf borderId="10" fillId="4" fontId="22" numFmtId="9" xfId="0" applyAlignment="1" applyBorder="1" applyFont="1" applyNumberFormat="1">
      <alignment horizontal="center" vertical="bottom"/>
    </xf>
    <xf borderId="10" fillId="4" fontId="23" numFmtId="9" xfId="0" applyAlignment="1" applyBorder="1" applyFont="1" applyNumberFormat="1">
      <alignment horizontal="center" shrinkToFit="0" vertical="bottom" wrapText="0"/>
    </xf>
    <xf borderId="11" fillId="4" fontId="23" numFmtId="9" xfId="0" applyAlignment="1" applyBorder="1" applyFont="1" applyNumberFormat="1">
      <alignment horizontal="center" shrinkToFit="0" vertical="bottom" wrapText="0"/>
    </xf>
    <xf borderId="17" fillId="0" fontId="22" numFmtId="9" xfId="0" applyAlignment="1" applyBorder="1" applyFont="1" applyNumberFormat="1">
      <alignment horizontal="center" vertical="bottom"/>
    </xf>
    <xf borderId="18" fillId="0" fontId="22" numFmtId="9" xfId="0" applyAlignment="1" applyBorder="1" applyFont="1" applyNumberFormat="1">
      <alignment horizontal="center" vertical="bottom"/>
    </xf>
    <xf borderId="0" fillId="0" fontId="24" numFmtId="0" xfId="0" applyAlignment="1" applyFont="1">
      <alignment horizontal="left" readingOrder="0" vertical="bottom"/>
    </xf>
    <xf borderId="9" fillId="0" fontId="23" numFmtId="0" xfId="0" applyAlignment="1" applyBorder="1" applyFont="1">
      <alignment horizontal="left" readingOrder="0" vertical="bottom"/>
    </xf>
    <xf borderId="18" fillId="0" fontId="23" numFmtId="0" xfId="0" applyAlignment="1" applyBorder="1" applyFont="1">
      <alignment horizontal="center" vertical="bottom"/>
    </xf>
    <xf borderId="10" fillId="0" fontId="23" numFmtId="3" xfId="0" applyAlignment="1" applyBorder="1" applyFont="1" applyNumberFormat="1">
      <alignment horizontal="center" vertical="bottom"/>
    </xf>
    <xf borderId="0" fillId="0" fontId="0" numFmtId="0" xfId="0" applyAlignment="1" applyFont="1">
      <alignment horizontal="center"/>
    </xf>
    <xf borderId="17" fillId="0" fontId="23" numFmtId="3" xfId="0" applyAlignment="1" applyBorder="1" applyFont="1" applyNumberFormat="1">
      <alignment horizontal="center" vertical="bottom"/>
    </xf>
    <xf borderId="18" fillId="0" fontId="23" numFmtId="3" xfId="0" applyAlignment="1" applyBorder="1" applyFont="1" applyNumberFormat="1">
      <alignment horizontal="center" vertical="bottom"/>
    </xf>
    <xf borderId="10" fillId="4" fontId="23" numFmtId="3" xfId="0" applyAlignment="1" applyBorder="1" applyFont="1" applyNumberFormat="1">
      <alignment horizontal="center" vertical="bottom"/>
    </xf>
    <xf borderId="17" fillId="4" fontId="23" numFmtId="3" xfId="0" applyAlignment="1" applyBorder="1" applyFont="1" applyNumberFormat="1">
      <alignment horizontal="center" readingOrder="0" shrinkToFit="0" vertical="bottom" wrapText="0"/>
    </xf>
    <xf borderId="37" fillId="4" fontId="23" numFmtId="3" xfId="0" applyAlignment="1" applyBorder="1" applyFont="1" applyNumberFormat="1">
      <alignment horizontal="center" readingOrder="0" shrinkToFit="0" vertical="bottom" wrapText="0"/>
    </xf>
    <xf borderId="10" fillId="0" fontId="23" numFmtId="0" xfId="0" applyAlignment="1" applyBorder="1" applyFont="1">
      <alignment horizontal="center" vertical="bottom"/>
    </xf>
    <xf borderId="28" fillId="0" fontId="23" numFmtId="0" xfId="0" applyAlignment="1" applyBorder="1" applyFont="1">
      <alignment horizontal="left" readingOrder="0" vertical="bottom"/>
    </xf>
    <xf borderId="38" fillId="0" fontId="23" numFmtId="0" xfId="0" applyAlignment="1" applyBorder="1" applyFont="1">
      <alignment horizontal="center" vertical="bottom"/>
    </xf>
    <xf borderId="15" fillId="0" fontId="23" numFmtId="3" xfId="0" applyAlignment="1" applyBorder="1" applyFont="1" applyNumberFormat="1">
      <alignment horizontal="center" vertical="bottom"/>
    </xf>
    <xf borderId="39" fillId="0" fontId="0" numFmtId="0" xfId="0" applyAlignment="1" applyBorder="1" applyFont="1">
      <alignment horizontal="center"/>
    </xf>
    <xf borderId="40" fillId="0" fontId="23" numFmtId="3" xfId="0" applyAlignment="1" applyBorder="1" applyFont="1" applyNumberFormat="1">
      <alignment horizontal="center" vertical="bottom"/>
    </xf>
    <xf borderId="38" fillId="0" fontId="23" numFmtId="3" xfId="0" applyAlignment="1" applyBorder="1" applyFont="1" applyNumberFormat="1">
      <alignment horizontal="center" vertical="bottom"/>
    </xf>
    <xf borderId="15" fillId="4" fontId="23" numFmtId="3" xfId="0" applyAlignment="1" applyBorder="1" applyFont="1" applyNumberFormat="1">
      <alignment horizontal="center" vertical="bottom"/>
    </xf>
    <xf borderId="40" fillId="4" fontId="23" numFmtId="3" xfId="0" applyAlignment="1" applyBorder="1" applyFont="1" applyNumberFormat="1">
      <alignment horizontal="center" readingOrder="0" shrinkToFit="0" vertical="bottom" wrapText="0"/>
    </xf>
    <xf borderId="41" fillId="4" fontId="23" numFmtId="3" xfId="0" applyAlignment="1" applyBorder="1" applyFont="1" applyNumberFormat="1">
      <alignment horizontal="center" readingOrder="0" shrinkToFit="0" vertical="bottom" wrapText="0"/>
    </xf>
    <xf borderId="0" fillId="0" fontId="13" numFmtId="0" xfId="0" applyAlignment="1" applyFont="1">
      <alignment vertical="bottom"/>
    </xf>
    <xf borderId="42" fillId="0" fontId="13" numFmtId="0" xfId="0" applyAlignment="1" applyBorder="1" applyFont="1">
      <alignment vertical="bottom"/>
    </xf>
    <xf borderId="31" fillId="0" fontId="3" numFmtId="0" xfId="0" applyBorder="1" applyFont="1"/>
    <xf borderId="31" fillId="4" fontId="3" numFmtId="0" xfId="0" applyBorder="1" applyFont="1"/>
    <xf borderId="43" fillId="4" fontId="3" numFmtId="0" xfId="0" applyBorder="1" applyFont="1"/>
    <xf borderId="1" fillId="0" fontId="21" numFmtId="0" xfId="0" applyAlignment="1" applyBorder="1" applyFont="1">
      <alignment horizontal="center" vertical="bottom"/>
    </xf>
    <xf borderId="10" fillId="0" fontId="22" numFmtId="3" xfId="0" applyAlignment="1" applyBorder="1" applyFont="1" applyNumberFormat="1">
      <alignment horizontal="center" vertical="bottom"/>
    </xf>
    <xf borderId="17" fillId="0" fontId="22" numFmtId="3" xfId="0" applyAlignment="1" applyBorder="1" applyFont="1" applyNumberFormat="1">
      <alignment horizontal="center" vertical="bottom"/>
    </xf>
    <xf borderId="18" fillId="0" fontId="22" numFmtId="3" xfId="0" applyAlignment="1" applyBorder="1" applyFont="1" applyNumberFormat="1">
      <alignment horizontal="center" vertical="bottom"/>
    </xf>
    <xf borderId="10" fillId="4" fontId="22" numFmtId="3" xfId="0" applyAlignment="1" applyBorder="1" applyFont="1" applyNumberFormat="1">
      <alignment horizontal="center" vertical="bottom"/>
    </xf>
    <xf borderId="17" fillId="4" fontId="23" numFmtId="9" xfId="0" applyAlignment="1" applyBorder="1" applyFont="1" applyNumberFormat="1">
      <alignment horizontal="center" shrinkToFit="0" vertical="bottom" wrapText="0"/>
    </xf>
    <xf borderId="37" fillId="4" fontId="23" numFmtId="9" xfId="0" applyAlignment="1" applyBorder="1" applyFont="1" applyNumberFormat="1">
      <alignment horizontal="center" shrinkToFit="0" vertical="bottom" wrapText="0"/>
    </xf>
    <xf borderId="0" fillId="0" fontId="14" numFmtId="0" xfId="0" applyAlignment="1" applyFont="1">
      <alignment horizontal="left" readingOrder="0" shrinkToFit="0" vertical="bottom" wrapText="1"/>
    </xf>
    <xf borderId="9" fillId="0" fontId="22" numFmtId="0" xfId="0" applyAlignment="1" applyBorder="1" applyFont="1">
      <alignment horizontal="left" readingOrder="0" shrinkToFit="0" vertical="bottom" wrapText="1"/>
    </xf>
    <xf borderId="28" fillId="0" fontId="22" numFmtId="0" xfId="0" applyAlignment="1" applyBorder="1" applyFont="1">
      <alignment horizontal="left" readingOrder="0" vertical="bottom"/>
    </xf>
    <xf borderId="38" fillId="0" fontId="22" numFmtId="0" xfId="0" applyAlignment="1" applyBorder="1" applyFont="1">
      <alignment horizontal="center" vertical="bottom"/>
    </xf>
    <xf borderId="15" fillId="0" fontId="22" numFmtId="3" xfId="0" applyAlignment="1" applyBorder="1" applyFont="1" applyNumberFormat="1">
      <alignment horizontal="center" vertical="bottom"/>
    </xf>
    <xf borderId="39" fillId="0" fontId="11" numFmtId="0" xfId="0" applyAlignment="1" applyBorder="1" applyFont="1">
      <alignment horizontal="center"/>
    </xf>
    <xf borderId="40" fillId="0" fontId="22" numFmtId="3" xfId="0" applyAlignment="1" applyBorder="1" applyFont="1" applyNumberFormat="1">
      <alignment horizontal="center" vertical="bottom"/>
    </xf>
    <xf borderId="38" fillId="0" fontId="22" numFmtId="3" xfId="0" applyAlignment="1" applyBorder="1" applyFont="1" applyNumberFormat="1">
      <alignment horizontal="center" vertical="bottom"/>
    </xf>
    <xf borderId="15" fillId="4" fontId="22" numFmtId="3" xfId="0" applyAlignment="1" applyBorder="1" applyFont="1" applyNumberFormat="1">
      <alignment horizontal="center" vertical="bottom"/>
    </xf>
    <xf borderId="0" fillId="0" fontId="25" numFmtId="0" xfId="0" applyAlignment="1" applyFont="1">
      <alignment horizontal="right" vertical="bottom"/>
    </xf>
    <xf borderId="44" fillId="0" fontId="25" numFmtId="0" xfId="0" applyAlignment="1" applyBorder="1" applyFont="1">
      <alignment horizontal="right" vertical="bottom"/>
    </xf>
    <xf borderId="0" fillId="0" fontId="25" numFmtId="0" xfId="0" applyAlignment="1" applyFont="1">
      <alignment horizontal="center" vertical="bottom"/>
    </xf>
    <xf borderId="0" fillId="0" fontId="25" numFmtId="3" xfId="0" applyAlignment="1" applyFont="1" applyNumberFormat="1">
      <alignment horizontal="right" vertical="bottom"/>
    </xf>
    <xf borderId="0" fillId="0" fontId="26" numFmtId="3" xfId="0" applyAlignment="1" applyFont="1" applyNumberFormat="1">
      <alignment vertical="bottom"/>
    </xf>
    <xf borderId="45" fillId="0" fontId="25" numFmtId="3" xfId="0" applyAlignment="1" applyBorder="1" applyFont="1" applyNumberFormat="1">
      <alignment horizontal="right" vertical="bottom"/>
    </xf>
    <xf borderId="0" fillId="0" fontId="21" numFmtId="0" xfId="0" applyAlignment="1" applyFont="1">
      <alignment horizontal="center" readingOrder="0" vertical="bottom"/>
    </xf>
    <xf borderId="1" fillId="0" fontId="21" numFmtId="0" xfId="0" applyAlignment="1" applyBorder="1" applyFont="1">
      <alignment horizontal="center" readingOrder="0" vertical="bottom"/>
    </xf>
    <xf borderId="0" fillId="0" fontId="14" numFmtId="0" xfId="0" applyAlignment="1" applyFont="1">
      <alignment readingOrder="0" vertical="bottom"/>
    </xf>
    <xf borderId="9" fillId="0" fontId="22" numFmtId="0" xfId="0" applyAlignment="1" applyBorder="1" applyFont="1">
      <alignment readingOrder="0" vertical="bottom"/>
    </xf>
    <xf borderId="10" fillId="0" fontId="22" numFmtId="0" xfId="0" applyAlignment="1" applyBorder="1" applyFont="1">
      <alignment horizontal="center" vertical="bottom"/>
    </xf>
    <xf borderId="10" fillId="0" fontId="27" numFmtId="9" xfId="0" applyAlignment="1" applyBorder="1" applyFont="1" applyNumberFormat="1">
      <alignment horizontal="right" vertical="bottom"/>
    </xf>
    <xf borderId="10" fillId="0" fontId="27" numFmtId="9" xfId="0" applyAlignment="1" applyBorder="1" applyFont="1" applyNumberFormat="1">
      <alignment horizontal="center" vertical="bottom"/>
    </xf>
    <xf borderId="17" fillId="0" fontId="27" numFmtId="9" xfId="0" applyAlignment="1" applyBorder="1" applyFont="1" applyNumberFormat="1">
      <alignment horizontal="center" vertical="bottom"/>
    </xf>
    <xf borderId="18" fillId="0" fontId="27" numFmtId="9" xfId="0" applyAlignment="1" applyBorder="1" applyFont="1" applyNumberFormat="1">
      <alignment horizontal="center" vertical="bottom"/>
    </xf>
    <xf borderId="10" fillId="0" fontId="11" numFmtId="9" xfId="0" applyAlignment="1" applyBorder="1" applyFont="1" applyNumberFormat="1">
      <alignment horizontal="center"/>
    </xf>
    <xf borderId="11" fillId="0" fontId="11" numFmtId="9" xfId="0" applyAlignment="1" applyBorder="1" applyFont="1" applyNumberFormat="1">
      <alignment horizontal="center"/>
    </xf>
    <xf borderId="0" fillId="0" fontId="14" numFmtId="0" xfId="0" applyAlignment="1" applyFont="1">
      <alignment vertical="bottom"/>
    </xf>
    <xf borderId="9" fillId="0" fontId="22" numFmtId="0" xfId="0" applyAlignment="1" applyBorder="1" applyFont="1">
      <alignment vertical="bottom"/>
    </xf>
    <xf borderId="28" fillId="0" fontId="22" numFmtId="0" xfId="0" applyAlignment="1" applyBorder="1" applyFont="1">
      <alignment vertical="bottom"/>
    </xf>
    <xf borderId="15" fillId="0" fontId="22" numFmtId="0" xfId="0" applyAlignment="1" applyBorder="1" applyFont="1">
      <alignment horizontal="center" vertical="bottom"/>
    </xf>
    <xf borderId="15" fillId="0" fontId="27" numFmtId="9" xfId="0" applyAlignment="1" applyBorder="1" applyFont="1" applyNumberFormat="1">
      <alignment horizontal="right" vertical="bottom"/>
    </xf>
    <xf borderId="40" fillId="0" fontId="27" numFmtId="9" xfId="0" applyAlignment="1" applyBorder="1" applyFont="1" applyNumberFormat="1">
      <alignment horizontal="center" vertical="bottom"/>
    </xf>
    <xf borderId="15" fillId="0" fontId="27" numFmtId="9" xfId="0" applyAlignment="1" applyBorder="1" applyFont="1" applyNumberFormat="1">
      <alignment horizontal="center" vertical="bottom"/>
    </xf>
    <xf borderId="38" fillId="0" fontId="27" numFmtId="9" xfId="0" applyAlignment="1" applyBorder="1" applyFont="1" applyNumberFormat="1">
      <alignment horizontal="center" vertical="bottom"/>
    </xf>
    <xf borderId="15" fillId="0" fontId="11" numFmtId="9" xfId="0" applyAlignment="1" applyBorder="1" applyFont="1" applyNumberFormat="1">
      <alignment horizontal="center"/>
    </xf>
    <xf borderId="16" fillId="0" fontId="11" numFmtId="9" xfId="0" applyAlignment="1" applyBorder="1" applyFont="1" applyNumberFormat="1">
      <alignment horizont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theme="8"/>
          <bgColor theme="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Number of Single Teacher Schools </a:t>
            </a:r>
          </a:p>
        </c:rich>
      </c:tx>
      <c:layout>
        <c:manualLayout>
          <c:xMode val="edge"/>
          <c:yMode val="edge"/>
          <c:x val="0.02552910052910053"/>
          <c:y val="0.05"/>
        </c:manualLayout>
      </c:layout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'Table B-Statewise_Ch2.2, 2.3, 4'!$H$42:$H$43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'Table B-Statewise_Ch2.2, 2.3, 4'!$J$44</c:f>
            </c:strRef>
          </c:cat>
          <c:val>
            <c:numRef>
              <c:f>'Table B-Statewise_Ch2.2, 2.3, 4'!$H$44</c:f>
              <c:numCache/>
            </c:numRef>
          </c:val>
        </c:ser>
        <c:ser>
          <c:idx val="1"/>
          <c:order val="1"/>
          <c:tx>
            <c:strRef>
              <c:f>'Table B-Statewise_Ch2.2, 2.3, 4'!$I$42:$I$43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'Table B-Statewise_Ch2.2, 2.3, 4'!$J$44</c:f>
            </c:strRef>
          </c:cat>
          <c:val>
            <c:numRef>
              <c:f>'Table B-Statewise_Ch2.2, 2.3, 4'!$I$44</c:f>
              <c:numCache/>
            </c:numRef>
          </c:val>
        </c:ser>
        <c:ser>
          <c:idx val="2"/>
          <c:order val="2"/>
          <c:tx>
            <c:strRef>
              <c:f>'Table B-Statewise_Ch2.2, 2.3, 4'!$J$42:$J$43</c:f>
            </c:strRef>
          </c:tx>
          <c:cat>
            <c:strRef>
              <c:f>'Table B-Statewise_Ch2.2, 2.3, 4'!$J$44</c:f>
            </c:strRef>
          </c:cat>
          <c:val>
            <c:numRef>
              <c:f>'Table B-Statewise_Ch2.2, 2.3, 4'!$J$44</c:f>
              <c:numCache/>
            </c:numRef>
          </c:val>
        </c:ser>
        <c:axId val="152501811"/>
        <c:axId val="1071327807"/>
      </c:bar3DChart>
      <c:catAx>
        <c:axId val="1525018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71327807"/>
      </c:catAx>
      <c:valAx>
        <c:axId val="10713278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250181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'Table E-Service Conditions_Ch3.'!$D$42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'Table E-Service Conditions_Ch3.'!$C$43:$C$53</c:f>
            </c:strRef>
          </c:cat>
          <c:val>
            <c:numRef>
              <c:f>'Table E-Service Conditions_Ch3.'!$D$43:$D$53</c:f>
              <c:numCache/>
            </c:numRef>
          </c:val>
        </c:ser>
        <c:ser>
          <c:idx val="1"/>
          <c:order val="1"/>
          <c:tx>
            <c:strRef>
              <c:f>'Table E-Service Conditions_Ch3.'!$E$42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'Table E-Service Conditions_Ch3.'!$C$43:$C$53</c:f>
            </c:strRef>
          </c:cat>
          <c:val>
            <c:numRef>
              <c:f>'Table E-Service Conditions_Ch3.'!$E$43:$E$53</c:f>
              <c:numCache/>
            </c:numRef>
          </c:val>
        </c:ser>
        <c:axId val="1328253831"/>
        <c:axId val="1956197513"/>
      </c:barChart>
      <c:catAx>
        <c:axId val="132825383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56197513"/>
      </c:catAx>
      <c:valAx>
        <c:axId val="19561975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2825383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400">
                <a:solidFill>
                  <a:srgbClr val="757575"/>
                </a:solidFill>
                <a:latin typeface="+mn-lt"/>
              </a:defRPr>
            </a:pPr>
            <a:r>
              <a:rPr b="0" sz="2400">
                <a:solidFill>
                  <a:srgbClr val="757575"/>
                </a:solidFill>
                <a:latin typeface="+mn-lt"/>
              </a:rPr>
              <a:t>Pupil Teacher Ratio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2018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'Table I-PTR_Ch4.1'!$A$2:$A$5</c:f>
            </c:strRef>
          </c:cat>
          <c:val>
            <c:numRef>
              <c:f>'Table I-PTR_Ch4.1'!$B$2:$B$5</c:f>
              <c:numCache/>
            </c:numRef>
          </c:val>
        </c:ser>
        <c:ser>
          <c:idx val="1"/>
          <c:order val="1"/>
          <c:tx>
            <c:v>2021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'Table I-PTR_Ch4.1'!$A$2:$A$5</c:f>
            </c:strRef>
          </c:cat>
          <c:val>
            <c:numRef>
              <c:f>'Table I-PTR_Ch4.1'!$C$2:$C$5</c:f>
              <c:numCache/>
            </c:numRef>
          </c:val>
        </c:ser>
        <c:axId val="1655066743"/>
        <c:axId val="1256303609"/>
      </c:barChart>
      <c:catAx>
        <c:axId val="16550667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6303609"/>
      </c:catAx>
      <c:valAx>
        <c:axId val="12563036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5066743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Chart4.png"/><Relationship Id="rId2" Type="http://schemas.openxmlformats.org/officeDocument/2006/relationships/image" Target="../media/image2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28575</xdr:colOff>
      <xdr:row>2</xdr:row>
      <xdr:rowOff>38100</xdr:rowOff>
    </xdr:from>
    <xdr:ext cx="5305425" cy="3276600"/>
    <xdr:pic>
      <xdr:nvPicPr>
        <xdr:cNvPr id="127016270" name="Chart4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4</xdr:row>
      <xdr:rowOff>161925</xdr:rowOff>
    </xdr:from>
    <xdr:ext cx="7181850" cy="27527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942975</xdr:colOff>
      <xdr:row>3</xdr:row>
      <xdr:rowOff>171450</xdr:rowOff>
    </xdr:from>
    <xdr:ext cx="5619750" cy="30003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390525</xdr:colOff>
      <xdr:row>44</xdr:row>
      <xdr:rowOff>123825</xdr:rowOff>
    </xdr:from>
    <xdr:ext cx="3600450" cy="22193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19050</xdr:rowOff>
    </xdr:from>
    <xdr:ext cx="6629400" cy="2085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409575</xdr:colOff>
      <xdr:row>42</xdr:row>
      <xdr:rowOff>104775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952500</xdr:colOff>
      <xdr:row>0</xdr:row>
      <xdr:rowOff>19050</xdr:rowOff>
    </xdr:from>
    <xdr:ext cx="4276725" cy="263842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25"/>
  </cols>
  <sheetData>
    <row r="1">
      <c r="A1" s="1" t="s">
        <v>0</v>
      </c>
      <c r="B1" s="2"/>
      <c r="C1" s="2"/>
      <c r="D1" s="2"/>
      <c r="E1" s="2"/>
      <c r="F1" s="2"/>
      <c r="G1" s="3"/>
    </row>
    <row r="2">
      <c r="A2" s="4"/>
      <c r="B2" s="5">
        <v>2018.0</v>
      </c>
      <c r="C2" s="6"/>
      <c r="D2" s="7"/>
      <c r="E2" s="8">
        <v>2021.0</v>
      </c>
      <c r="F2" s="6"/>
      <c r="G2" s="9"/>
    </row>
    <row r="3">
      <c r="A3" s="10"/>
      <c r="B3" s="11" t="s">
        <v>1</v>
      </c>
      <c r="C3" s="12" t="s">
        <v>2</v>
      </c>
      <c r="D3" s="13" t="s">
        <v>3</v>
      </c>
      <c r="E3" s="11" t="s">
        <v>1</v>
      </c>
      <c r="F3" s="12" t="s">
        <v>2</v>
      </c>
      <c r="G3" s="14" t="s">
        <v>3</v>
      </c>
    </row>
    <row r="4">
      <c r="A4" s="15" t="s">
        <v>4</v>
      </c>
      <c r="B4" s="16">
        <v>1551000.0</v>
      </c>
      <c r="C4" s="17">
        <v>9430839.0</v>
      </c>
      <c r="D4" s="18">
        <v>2.48338582E8</v>
      </c>
      <c r="E4" s="16">
        <v>1489115.0</v>
      </c>
      <c r="F4" s="17">
        <v>9507123.0</v>
      </c>
      <c r="G4" s="19">
        <v>2.6523583E8</v>
      </c>
      <c r="J4" s="20"/>
      <c r="K4" s="21"/>
    </row>
    <row r="5">
      <c r="A5" s="15" t="s">
        <v>5</v>
      </c>
      <c r="B5" s="22">
        <v>0.84</v>
      </c>
      <c r="C5" s="23">
        <v>0.72</v>
      </c>
      <c r="D5" s="24">
        <v>0.7027</v>
      </c>
      <c r="E5" s="22">
        <v>0.8292</v>
      </c>
      <c r="F5" s="23">
        <v>0.7009</v>
      </c>
      <c r="G5" s="25">
        <v>0.6971</v>
      </c>
      <c r="I5" s="20">
        <f>B4-E4</f>
        <v>61885</v>
      </c>
      <c r="J5" s="20"/>
    </row>
    <row r="6">
      <c r="A6" s="15" t="s">
        <v>6</v>
      </c>
      <c r="B6" s="26">
        <v>0.67</v>
      </c>
      <c r="C6" s="27">
        <v>0.5</v>
      </c>
      <c r="D6" s="28">
        <v>0.49</v>
      </c>
      <c r="E6" s="26">
        <v>0.657</v>
      </c>
      <c r="F6" s="27">
        <v>0.4925</v>
      </c>
      <c r="G6" s="29">
        <v>0.5168</v>
      </c>
    </row>
    <row r="7">
      <c r="A7" s="15" t="s">
        <v>7</v>
      </c>
      <c r="B7" s="22">
        <v>0.9231</v>
      </c>
      <c r="C7" s="23">
        <v>0.8613</v>
      </c>
      <c r="D7" s="24">
        <v>0.8535</v>
      </c>
      <c r="E7" s="22">
        <v>0.9197</v>
      </c>
      <c r="F7" s="23">
        <v>0.8544</v>
      </c>
      <c r="G7" s="25">
        <v>0.8453</v>
      </c>
      <c r="I7" s="30">
        <f>((G4-D4)/D4)*100</f>
        <v>6.804117131</v>
      </c>
    </row>
    <row r="8">
      <c r="A8" s="15" t="s">
        <v>8</v>
      </c>
      <c r="B8" s="26">
        <v>0.03</v>
      </c>
      <c r="C8" s="27">
        <v>0.02</v>
      </c>
      <c r="D8" s="28">
        <v>0.0247</v>
      </c>
      <c r="E8" s="26">
        <v>0.0331</v>
      </c>
      <c r="F8" s="27">
        <v>0.0211</v>
      </c>
      <c r="G8" s="29">
        <v>0.0233</v>
      </c>
    </row>
    <row r="9">
      <c r="A9" s="15" t="s">
        <v>9</v>
      </c>
      <c r="B9" s="26">
        <v>0.05</v>
      </c>
      <c r="C9" s="27">
        <v>0.09</v>
      </c>
      <c r="D9" s="28">
        <v>0.11</v>
      </c>
      <c r="E9" s="26">
        <v>0.0554</v>
      </c>
      <c r="F9" s="27">
        <v>0.0838</v>
      </c>
      <c r="G9" s="29">
        <v>0.1019</v>
      </c>
      <c r="J9" s="20"/>
      <c r="K9" s="21"/>
    </row>
    <row r="10">
      <c r="A10" s="15" t="s">
        <v>10</v>
      </c>
      <c r="B10" s="26">
        <v>0.21</v>
      </c>
      <c r="C10" s="27">
        <v>0.35</v>
      </c>
      <c r="D10" s="28">
        <v>0.34</v>
      </c>
      <c r="E10" s="26">
        <v>0.2255</v>
      </c>
      <c r="F10" s="27">
        <v>0.3724</v>
      </c>
      <c r="G10" s="29">
        <v>0.3328</v>
      </c>
      <c r="J10" s="20"/>
    </row>
    <row r="11">
      <c r="A11" s="15" t="s">
        <v>11</v>
      </c>
      <c r="B11" s="22">
        <v>0.6122</v>
      </c>
      <c r="C11" s="23">
        <v>0.54</v>
      </c>
      <c r="D11" s="24">
        <v>0.5243</v>
      </c>
      <c r="E11" s="22">
        <v>0.607</v>
      </c>
      <c r="F11" s="23">
        <v>0.5222</v>
      </c>
      <c r="G11" s="25">
        <v>0.5092</v>
      </c>
    </row>
    <row r="12">
      <c r="A12" s="15" t="s">
        <v>12</v>
      </c>
      <c r="B12" s="26">
        <v>0.02</v>
      </c>
      <c r="C12" s="27">
        <v>0.02</v>
      </c>
      <c r="D12" s="28">
        <v>0.01</v>
      </c>
      <c r="E12" s="26">
        <v>0.0134</v>
      </c>
      <c r="F12" s="27">
        <v>0.0099</v>
      </c>
      <c r="G12" s="29">
        <v>0.0101</v>
      </c>
    </row>
    <row r="13">
      <c r="A13" s="31" t="s">
        <v>13</v>
      </c>
      <c r="B13" s="32">
        <v>0.02</v>
      </c>
      <c r="C13" s="33">
        <v>0.03</v>
      </c>
      <c r="D13" s="34">
        <v>0.02</v>
      </c>
      <c r="E13" s="32">
        <v>0.0191</v>
      </c>
      <c r="F13" s="33">
        <v>0.0203</v>
      </c>
      <c r="G13" s="35">
        <v>0.0151</v>
      </c>
    </row>
  </sheetData>
  <mergeCells count="3">
    <mergeCell ref="A1:G1"/>
    <mergeCell ref="B2:D2"/>
    <mergeCell ref="E2:G2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2" max="2" width="17.13"/>
    <col customWidth="1" min="3" max="3" width="14.38"/>
    <col customWidth="1" min="4" max="4" width="10.25"/>
    <col customWidth="1" min="5" max="5" width="11.0"/>
    <col customWidth="1" min="6" max="6" width="12.5"/>
    <col customWidth="1" min="7" max="7" width="13.63"/>
  </cols>
  <sheetData>
    <row r="2">
      <c r="B2" s="315" t="s">
        <v>319</v>
      </c>
      <c r="C2" s="315" t="s">
        <v>15</v>
      </c>
      <c r="D2" s="316" t="s">
        <v>320</v>
      </c>
      <c r="E2" s="316" t="s">
        <v>290</v>
      </c>
      <c r="F2" s="316" t="s">
        <v>321</v>
      </c>
      <c r="G2" s="316" t="s">
        <v>322</v>
      </c>
      <c r="H2" s="316" t="s">
        <v>323</v>
      </c>
      <c r="I2" s="317" t="s">
        <v>324</v>
      </c>
      <c r="J2" s="316" t="s">
        <v>325</v>
      </c>
      <c r="K2" s="316" t="s">
        <v>326</v>
      </c>
      <c r="L2" s="316" t="s">
        <v>327</v>
      </c>
      <c r="N2" s="79"/>
    </row>
    <row r="3">
      <c r="B3" s="318">
        <v>2018.0</v>
      </c>
      <c r="C3" s="319">
        <v>9507123.0</v>
      </c>
      <c r="D3" s="320">
        <v>1545930.0</v>
      </c>
      <c r="E3" s="319">
        <v>3939417.0</v>
      </c>
      <c r="F3" s="320">
        <v>4021776.0</v>
      </c>
      <c r="G3" s="319">
        <v>2503705.0</v>
      </c>
      <c r="H3" s="319">
        <v>4383527.0</v>
      </c>
      <c r="I3" s="319">
        <v>333611.0</v>
      </c>
      <c r="J3" s="319">
        <v>233942.0</v>
      </c>
      <c r="K3" s="319">
        <v>733749.0</v>
      </c>
      <c r="L3" s="319">
        <v>903269.0</v>
      </c>
    </row>
    <row r="4">
      <c r="B4" s="119">
        <v>2021.0</v>
      </c>
      <c r="C4" s="320">
        <v>9430839.0</v>
      </c>
      <c r="D4" s="321" t="s">
        <v>127</v>
      </c>
      <c r="E4" s="320">
        <v>7505253.0</v>
      </c>
      <c r="F4" s="321" t="s">
        <v>127</v>
      </c>
      <c r="G4" s="320">
        <v>2414276.0</v>
      </c>
      <c r="H4" s="320">
        <v>4029205.0</v>
      </c>
      <c r="I4" s="319">
        <v>354401.0</v>
      </c>
      <c r="J4" s="320">
        <v>237843.0</v>
      </c>
      <c r="K4" s="320">
        <v>635224.0</v>
      </c>
      <c r="L4" s="321" t="s">
        <v>127</v>
      </c>
    </row>
    <row r="5">
      <c r="B5" s="322"/>
      <c r="C5" s="323" t="s">
        <v>328</v>
      </c>
      <c r="D5" s="323" t="s">
        <v>127</v>
      </c>
      <c r="E5" s="323" t="s">
        <v>329</v>
      </c>
      <c r="F5" s="324" t="s">
        <v>127</v>
      </c>
      <c r="G5" s="323" t="s">
        <v>330</v>
      </c>
      <c r="H5" s="323" t="s">
        <v>331</v>
      </c>
      <c r="I5" s="323" t="s">
        <v>332</v>
      </c>
      <c r="J5" s="323" t="s">
        <v>333</v>
      </c>
      <c r="K5" s="323" t="s">
        <v>334</v>
      </c>
      <c r="L5" s="324" t="s">
        <v>127</v>
      </c>
    </row>
    <row r="7">
      <c r="B7" s="325"/>
      <c r="C7" s="326" t="s">
        <v>19</v>
      </c>
      <c r="D7" s="144">
        <v>2018.0</v>
      </c>
      <c r="E7" s="144">
        <v>2018.0</v>
      </c>
      <c r="F7" s="327">
        <v>2021.0</v>
      </c>
      <c r="G7" s="327" t="s">
        <v>335</v>
      </c>
    </row>
    <row r="8">
      <c r="B8" s="328" t="s">
        <v>15</v>
      </c>
      <c r="C8" s="329">
        <v>9507123.0</v>
      </c>
      <c r="D8" s="327" t="s">
        <v>336</v>
      </c>
      <c r="E8" s="330" t="s">
        <v>337</v>
      </c>
      <c r="F8" s="331">
        <v>9430839.0</v>
      </c>
      <c r="G8" s="332" t="s">
        <v>328</v>
      </c>
    </row>
    <row r="9">
      <c r="B9" s="333" t="s">
        <v>320</v>
      </c>
      <c r="C9" s="275">
        <v>1545930.0</v>
      </c>
      <c r="D9" s="334">
        <f>C9/C8</f>
        <v>0.1626075523</v>
      </c>
      <c r="E9" s="335">
        <v>0.7943664978362539</v>
      </c>
      <c r="F9" s="336" t="s">
        <v>127</v>
      </c>
      <c r="G9" s="332" t="s">
        <v>127</v>
      </c>
    </row>
    <row r="10">
      <c r="B10" s="333" t="s">
        <v>290</v>
      </c>
      <c r="C10" s="329">
        <v>3939417.0</v>
      </c>
      <c r="D10" s="334">
        <f>C10/C8</f>
        <v>0.4143647873</v>
      </c>
      <c r="E10" s="335">
        <v>0.7081631622141042</v>
      </c>
      <c r="F10" s="331">
        <v>7505253.0</v>
      </c>
      <c r="G10" s="332" t="s">
        <v>329</v>
      </c>
    </row>
    <row r="11">
      <c r="B11" s="333" t="s">
        <v>321</v>
      </c>
      <c r="C11" s="275">
        <v>4021776.0</v>
      </c>
      <c r="D11" s="334">
        <f>C11/C8</f>
        <v>0.4230276604</v>
      </c>
      <c r="E11" s="335">
        <v>0.6579309737787485</v>
      </c>
      <c r="F11" s="336" t="s">
        <v>127</v>
      </c>
      <c r="G11" s="324" t="s">
        <v>127</v>
      </c>
    </row>
    <row r="12">
      <c r="B12" s="333" t="s">
        <v>322</v>
      </c>
      <c r="C12" s="329">
        <v>2503705.0</v>
      </c>
      <c r="D12" s="334">
        <f>C12/C8</f>
        <v>0.2633504374</v>
      </c>
      <c r="E12" s="335">
        <v>0.8106514146035575</v>
      </c>
      <c r="F12" s="331">
        <v>2414276.0</v>
      </c>
      <c r="G12" s="332" t="s">
        <v>330</v>
      </c>
    </row>
    <row r="13">
      <c r="B13" s="333" t="s">
        <v>323</v>
      </c>
      <c r="C13" s="329">
        <v>4383527.0</v>
      </c>
      <c r="D13" s="334">
        <f>C13/C8</f>
        <v>0.4610781832</v>
      </c>
      <c r="E13" s="335">
        <v>0.6483500614915797</v>
      </c>
      <c r="F13" s="331">
        <v>4029205.0</v>
      </c>
      <c r="G13" s="332" t="s">
        <v>331</v>
      </c>
    </row>
    <row r="14">
      <c r="B14" s="337" t="s">
        <v>324</v>
      </c>
      <c r="C14" s="329">
        <v>333611.0</v>
      </c>
      <c r="D14" s="334">
        <f>C14/C8</f>
        <v>0.03509063678</v>
      </c>
      <c r="E14" s="338">
        <v>0.7470676926120542</v>
      </c>
      <c r="F14" s="339">
        <v>354401.0</v>
      </c>
      <c r="G14" s="332" t="s">
        <v>332</v>
      </c>
    </row>
    <row r="15">
      <c r="B15" s="333" t="s">
        <v>325</v>
      </c>
      <c r="C15" s="329">
        <v>233942.0</v>
      </c>
      <c r="D15" s="340">
        <f>C15/C8</f>
        <v>0.0246070236</v>
      </c>
      <c r="E15" s="335">
        <v>0.600909627172547</v>
      </c>
      <c r="F15" s="331">
        <v>237843.0</v>
      </c>
      <c r="G15" s="332" t="s">
        <v>333</v>
      </c>
    </row>
    <row r="16">
      <c r="B16" s="333" t="s">
        <v>326</v>
      </c>
      <c r="C16" s="329">
        <v>733749.0</v>
      </c>
      <c r="D16" s="334">
        <f>C16/C8</f>
        <v>0.07717886894</v>
      </c>
      <c r="E16" s="341">
        <v>0.05600280204811182</v>
      </c>
      <c r="F16" s="331">
        <v>635224.0</v>
      </c>
      <c r="G16" s="332" t="s">
        <v>334</v>
      </c>
    </row>
    <row r="17">
      <c r="B17" s="333" t="s">
        <v>327</v>
      </c>
      <c r="C17" s="329">
        <v>903269.0</v>
      </c>
      <c r="D17" s="334">
        <f>C17/C8</f>
        <v>0.09500971009</v>
      </c>
      <c r="E17" s="335">
        <v>0.6866846974710745</v>
      </c>
      <c r="F17" s="336" t="s">
        <v>127</v>
      </c>
      <c r="G17" s="324" t="s">
        <v>127</v>
      </c>
    </row>
    <row r="18">
      <c r="B18" s="328" t="s">
        <v>338</v>
      </c>
      <c r="C18" s="338">
        <v>0.21442338882437015</v>
      </c>
      <c r="D18" s="342"/>
      <c r="E18" s="343"/>
      <c r="F18" s="344"/>
      <c r="G18" s="115"/>
    </row>
    <row r="19">
      <c r="B19" s="328" t="s">
        <v>339</v>
      </c>
      <c r="C19" s="338">
        <v>0.6082529124767926</v>
      </c>
      <c r="D19" s="345"/>
      <c r="E19" s="181"/>
      <c r="F19" s="344"/>
      <c r="G19" s="115"/>
    </row>
  </sheetData>
  <mergeCells count="1">
    <mergeCell ref="D18:E19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B3" s="62" t="s">
        <v>340</v>
      </c>
      <c r="H3" s="62" t="s">
        <v>341</v>
      </c>
      <c r="I3" s="77" t="s">
        <v>342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32.5"/>
    <col customWidth="1" min="3" max="3" width="6.25"/>
    <col customWidth="1" min="4" max="4" width="10.0"/>
    <col customWidth="1" min="5" max="5" width="10.25"/>
    <col customWidth="1" min="6" max="6" width="9.75"/>
    <col customWidth="1" min="7" max="7" width="10.0"/>
    <col customWidth="1" min="8" max="9" width="10.25"/>
    <col customWidth="1" min="10" max="10" width="10.88"/>
    <col customWidth="1" min="11" max="11" width="9.88"/>
    <col customWidth="1" min="12" max="12" width="9.63"/>
    <col customWidth="1" min="13" max="13" width="8.88"/>
    <col customWidth="1" min="14" max="14" width="10.75"/>
    <col customWidth="1" min="15" max="15" width="9.0"/>
    <col customWidth="1" min="16" max="16" width="9.88"/>
    <col customWidth="1" min="17" max="17" width="10.63"/>
  </cols>
  <sheetData>
    <row r="1">
      <c r="D1" s="42"/>
      <c r="E1" s="42"/>
      <c r="F1" s="42"/>
      <c r="G1" s="42"/>
      <c r="H1" s="42"/>
      <c r="I1" s="42"/>
      <c r="J1" s="42"/>
      <c r="K1" s="42"/>
      <c r="L1" s="42"/>
      <c r="M1" s="42"/>
      <c r="O1" s="42"/>
      <c r="P1" s="42"/>
      <c r="Q1" s="42"/>
      <c r="R1" s="42"/>
      <c r="S1" s="42"/>
      <c r="T1" s="42"/>
      <c r="U1" s="42"/>
      <c r="V1" s="42"/>
    </row>
    <row r="2">
      <c r="A2" s="346"/>
      <c r="B2" s="346"/>
      <c r="C2" s="347"/>
      <c r="D2" s="346"/>
    </row>
    <row r="3">
      <c r="A3" s="346"/>
      <c r="B3" s="348">
        <v>2021.0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50"/>
    </row>
    <row r="4">
      <c r="A4" s="351"/>
      <c r="B4" s="352" t="s">
        <v>343</v>
      </c>
      <c r="C4" s="353"/>
      <c r="D4" s="354" t="s">
        <v>344</v>
      </c>
      <c r="E4" s="355" t="s">
        <v>344</v>
      </c>
      <c r="F4" s="356" t="s">
        <v>345</v>
      </c>
      <c r="G4" s="7"/>
      <c r="H4" s="356" t="s">
        <v>346</v>
      </c>
      <c r="I4" s="7"/>
      <c r="J4" s="356" t="s">
        <v>347</v>
      </c>
      <c r="K4" s="7"/>
      <c r="L4" s="357" t="s">
        <v>348</v>
      </c>
      <c r="M4" s="7"/>
      <c r="N4" s="358"/>
      <c r="O4" s="359" t="s">
        <v>349</v>
      </c>
      <c r="P4" s="359" t="s">
        <v>350</v>
      </c>
      <c r="Q4" s="359" t="s">
        <v>351</v>
      </c>
      <c r="R4" s="359" t="s">
        <v>352</v>
      </c>
      <c r="S4" s="357" t="s">
        <v>353</v>
      </c>
      <c r="T4" s="7"/>
      <c r="U4" s="357" t="s">
        <v>354</v>
      </c>
      <c r="V4" s="9"/>
    </row>
    <row r="5">
      <c r="A5" s="360"/>
      <c r="B5" s="361" t="s">
        <v>355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9"/>
    </row>
    <row r="6">
      <c r="A6" s="362"/>
      <c r="B6" s="363" t="s">
        <v>356</v>
      </c>
      <c r="C6" s="364" t="s">
        <v>274</v>
      </c>
      <c r="D6" s="365">
        <v>0.38</v>
      </c>
      <c r="E6" s="365">
        <v>0.37</v>
      </c>
      <c r="F6" s="365">
        <v>0.43</v>
      </c>
      <c r="G6" s="365">
        <v>0.38</v>
      </c>
      <c r="H6" s="365">
        <v>0.41</v>
      </c>
      <c r="I6" s="365">
        <v>0.43</v>
      </c>
      <c r="J6" s="365">
        <v>0.77</v>
      </c>
      <c r="K6" s="365">
        <v>0.43</v>
      </c>
      <c r="L6" s="365">
        <v>0.43</v>
      </c>
      <c r="M6" s="365">
        <v>0.5</v>
      </c>
      <c r="N6" s="366"/>
      <c r="O6" s="365">
        <v>0.55</v>
      </c>
      <c r="P6" s="367">
        <v>0.32</v>
      </c>
      <c r="Q6" s="367">
        <v>0.85</v>
      </c>
      <c r="R6" s="367">
        <v>0.63</v>
      </c>
      <c r="S6" s="368">
        <v>0.42</v>
      </c>
      <c r="T6" s="369">
        <f t="shared" ref="T6:T9" si="1">average(G6:I6)</f>
        <v>0.4066666667</v>
      </c>
      <c r="U6" s="368">
        <v>0.41</v>
      </c>
      <c r="V6" s="370">
        <f t="shared" ref="V6:V9" si="2">average(E6:R6)</f>
        <v>0.5</v>
      </c>
    </row>
    <row r="7">
      <c r="A7" s="362"/>
      <c r="B7" s="363" t="s">
        <v>357</v>
      </c>
      <c r="C7" s="364" t="s">
        <v>274</v>
      </c>
      <c r="D7" s="365">
        <v>0.07</v>
      </c>
      <c r="E7" s="365">
        <v>0.05</v>
      </c>
      <c r="F7" s="365">
        <v>0.04</v>
      </c>
      <c r="G7" s="365">
        <v>0.04</v>
      </c>
      <c r="H7" s="365">
        <v>0.05</v>
      </c>
      <c r="I7" s="365">
        <v>0.04</v>
      </c>
      <c r="J7" s="365">
        <v>0.04</v>
      </c>
      <c r="K7" s="365">
        <v>0.03</v>
      </c>
      <c r="L7" s="365">
        <v>0.06</v>
      </c>
      <c r="M7" s="365">
        <v>0.1</v>
      </c>
      <c r="N7" s="366"/>
      <c r="O7" s="371">
        <v>0.11</v>
      </c>
      <c r="P7" s="372">
        <v>0.66</v>
      </c>
      <c r="Q7" s="372">
        <v>0.06</v>
      </c>
      <c r="R7" s="372">
        <v>0.06</v>
      </c>
      <c r="S7" s="368">
        <v>0.05</v>
      </c>
      <c r="T7" s="369">
        <f t="shared" si="1"/>
        <v>0.04333333333</v>
      </c>
      <c r="U7" s="368">
        <v>0.05</v>
      </c>
      <c r="V7" s="370">
        <f t="shared" si="2"/>
        <v>0.1030769231</v>
      </c>
    </row>
    <row r="8">
      <c r="A8" s="362"/>
      <c r="B8" s="363" t="s">
        <v>358</v>
      </c>
      <c r="C8" s="364" t="s">
        <v>274</v>
      </c>
      <c r="D8" s="365">
        <v>0.08</v>
      </c>
      <c r="E8" s="365">
        <v>0.02</v>
      </c>
      <c r="F8" s="365">
        <v>0.03</v>
      </c>
      <c r="G8" s="365">
        <v>0.03</v>
      </c>
      <c r="H8" s="365">
        <v>0.04</v>
      </c>
      <c r="I8" s="365">
        <v>0.03</v>
      </c>
      <c r="J8" s="365">
        <v>0.0</v>
      </c>
      <c r="K8" s="365">
        <v>0.0</v>
      </c>
      <c r="L8" s="365">
        <v>0.09</v>
      </c>
      <c r="M8" s="365">
        <v>0.04</v>
      </c>
      <c r="N8" s="366"/>
      <c r="O8" s="371">
        <v>0.03</v>
      </c>
      <c r="P8" s="372" t="s">
        <v>127</v>
      </c>
      <c r="Q8" s="372">
        <v>0.02</v>
      </c>
      <c r="R8" s="372" t="s">
        <v>127</v>
      </c>
      <c r="S8" s="368">
        <v>0.03</v>
      </c>
      <c r="T8" s="369">
        <f t="shared" si="1"/>
        <v>0.03333333333</v>
      </c>
      <c r="U8" s="368">
        <v>0.04</v>
      </c>
      <c r="V8" s="370">
        <f t="shared" si="2"/>
        <v>0.03</v>
      </c>
    </row>
    <row r="9">
      <c r="A9" s="362"/>
      <c r="B9" s="363" t="s">
        <v>359</v>
      </c>
      <c r="C9" s="364" t="s">
        <v>274</v>
      </c>
      <c r="D9" s="365">
        <v>0.45</v>
      </c>
      <c r="E9" s="365">
        <v>0.56</v>
      </c>
      <c r="F9" s="365">
        <v>0.47</v>
      </c>
      <c r="G9" s="365">
        <v>0.55</v>
      </c>
      <c r="H9" s="365">
        <v>0.44</v>
      </c>
      <c r="I9" s="365">
        <v>0.5</v>
      </c>
      <c r="J9" s="365">
        <v>0.19</v>
      </c>
      <c r="K9" s="365">
        <v>0.54</v>
      </c>
      <c r="L9" s="365">
        <v>0.4</v>
      </c>
      <c r="M9" s="365">
        <v>0.36</v>
      </c>
      <c r="N9" s="366"/>
      <c r="O9" s="371">
        <v>0.31</v>
      </c>
      <c r="P9" s="372">
        <v>0.02</v>
      </c>
      <c r="Q9" s="372">
        <v>0.07</v>
      </c>
      <c r="R9" s="372">
        <v>0.31</v>
      </c>
      <c r="S9" s="368">
        <v>0.45</v>
      </c>
      <c r="T9" s="369">
        <f t="shared" si="1"/>
        <v>0.4966666667</v>
      </c>
      <c r="U9" s="368">
        <v>0.45</v>
      </c>
      <c r="V9" s="370">
        <f t="shared" si="2"/>
        <v>0.3630769231</v>
      </c>
    </row>
    <row r="10">
      <c r="A10" s="373"/>
      <c r="B10" s="374" t="s">
        <v>360</v>
      </c>
      <c r="C10" s="375" t="s">
        <v>361</v>
      </c>
      <c r="D10" s="376">
        <v>7477.0</v>
      </c>
      <c r="E10" s="376">
        <v>10230.0</v>
      </c>
      <c r="F10" s="376">
        <v>17414.0</v>
      </c>
      <c r="G10" s="376">
        <v>17440.0</v>
      </c>
      <c r="H10" s="376">
        <v>19628.0</v>
      </c>
      <c r="I10" s="376">
        <v>20190.0</v>
      </c>
      <c r="J10" s="376">
        <v>16251.0</v>
      </c>
      <c r="K10" s="376">
        <v>12070.0</v>
      </c>
      <c r="L10" s="376">
        <v>16611.0</v>
      </c>
      <c r="M10" s="376">
        <v>12794.0</v>
      </c>
      <c r="N10" s="377"/>
      <c r="O10" s="378">
        <v>16378.0</v>
      </c>
      <c r="P10" s="379">
        <v>10416.0</v>
      </c>
      <c r="Q10" s="379">
        <v>14389.0</v>
      </c>
      <c r="R10" s="379">
        <v>19577.0</v>
      </c>
      <c r="S10" s="380">
        <v>18531.0</v>
      </c>
      <c r="T10" s="381">
        <v>18611.0</v>
      </c>
      <c r="U10" s="380">
        <v>16656.0</v>
      </c>
      <c r="V10" s="382">
        <v>16944.0</v>
      </c>
    </row>
    <row r="11">
      <c r="A11" s="373"/>
      <c r="B11" s="374" t="s">
        <v>362</v>
      </c>
      <c r="C11" s="375" t="s">
        <v>361</v>
      </c>
      <c r="D11" s="376">
        <v>6859.0</v>
      </c>
      <c r="E11" s="376">
        <v>6930.0</v>
      </c>
      <c r="F11" s="376">
        <v>8837.0</v>
      </c>
      <c r="G11" s="376">
        <v>9514.0</v>
      </c>
      <c r="H11" s="376">
        <v>10222.0</v>
      </c>
      <c r="I11" s="376">
        <v>13932.0</v>
      </c>
      <c r="J11" s="376">
        <v>6000.0</v>
      </c>
      <c r="K11" s="376">
        <v>14436.0</v>
      </c>
      <c r="L11" s="376">
        <v>15570.0</v>
      </c>
      <c r="M11" s="376">
        <v>3441.0</v>
      </c>
      <c r="N11" s="377"/>
      <c r="O11" s="378">
        <v>12000.0</v>
      </c>
      <c r="P11" s="379">
        <v>7500.0</v>
      </c>
      <c r="Q11" s="379">
        <v>74250.0</v>
      </c>
      <c r="R11" s="379">
        <v>17039.0</v>
      </c>
      <c r="S11" s="380">
        <v>9633.0</v>
      </c>
      <c r="T11" s="381">
        <v>11288.0</v>
      </c>
      <c r="U11" s="380">
        <v>8984.0</v>
      </c>
      <c r="V11" s="382">
        <v>10102.0</v>
      </c>
    </row>
    <row r="12">
      <c r="A12" s="373"/>
      <c r="B12" s="374" t="s">
        <v>363</v>
      </c>
      <c r="C12" s="375" t="s">
        <v>361</v>
      </c>
      <c r="D12" s="376">
        <v>7739.0</v>
      </c>
      <c r="E12" s="376">
        <v>5512.0</v>
      </c>
      <c r="F12" s="376">
        <v>15627.0</v>
      </c>
      <c r="G12" s="376">
        <v>17959.0</v>
      </c>
      <c r="H12" s="376">
        <v>21348.0</v>
      </c>
      <c r="I12" s="376">
        <v>14101.0</v>
      </c>
      <c r="J12" s="383"/>
      <c r="K12" s="383">
        <v>15000.0</v>
      </c>
      <c r="L12" s="376">
        <v>11292.0</v>
      </c>
      <c r="M12" s="376">
        <v>9000.0</v>
      </c>
      <c r="N12" s="377"/>
      <c r="O12" s="378">
        <v>20015.0</v>
      </c>
      <c r="P12" s="379" t="s">
        <v>127</v>
      </c>
      <c r="Q12" s="379">
        <v>13000.0</v>
      </c>
      <c r="R12" s="379" t="s">
        <v>127</v>
      </c>
      <c r="S12" s="380">
        <v>18991.0</v>
      </c>
      <c r="T12" s="381">
        <v>16356.0</v>
      </c>
      <c r="U12" s="380">
        <v>14799.0</v>
      </c>
      <c r="V12" s="382">
        <v>14561.0</v>
      </c>
    </row>
    <row r="13">
      <c r="A13" s="373"/>
      <c r="B13" s="384" t="s">
        <v>364</v>
      </c>
      <c r="C13" s="385" t="s">
        <v>361</v>
      </c>
      <c r="D13" s="386">
        <v>11650.0</v>
      </c>
      <c r="E13" s="386">
        <v>8583.0</v>
      </c>
      <c r="F13" s="386">
        <v>28057.0</v>
      </c>
      <c r="G13" s="386">
        <v>33347.0</v>
      </c>
      <c r="H13" s="386">
        <v>35890.0</v>
      </c>
      <c r="I13" s="386">
        <v>40432.0</v>
      </c>
      <c r="J13" s="386">
        <v>11246.0</v>
      </c>
      <c r="K13" s="386">
        <v>32877.0</v>
      </c>
      <c r="L13" s="386">
        <v>35128.0</v>
      </c>
      <c r="M13" s="386">
        <v>31275.0</v>
      </c>
      <c r="N13" s="387"/>
      <c r="O13" s="388">
        <v>36691.0</v>
      </c>
      <c r="P13" s="389">
        <v>31991.0</v>
      </c>
      <c r="Q13" s="389">
        <v>71229.0</v>
      </c>
      <c r="R13" s="389">
        <v>27963.0</v>
      </c>
      <c r="S13" s="390">
        <v>31982.0</v>
      </c>
      <c r="T13" s="391">
        <v>35987.0</v>
      </c>
      <c r="U13" s="390">
        <v>28323.0</v>
      </c>
      <c r="V13" s="392">
        <v>30451.0</v>
      </c>
    </row>
    <row r="14">
      <c r="A14" s="393"/>
      <c r="B14" s="394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S14" s="396"/>
      <c r="T14" s="396"/>
      <c r="U14" s="396"/>
      <c r="V14" s="397"/>
    </row>
    <row r="15" ht="18.0" customHeight="1">
      <c r="A15" s="360"/>
      <c r="B15" s="398" t="s">
        <v>365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/>
    </row>
    <row r="16">
      <c r="A16" s="362"/>
      <c r="B16" s="363" t="s">
        <v>366</v>
      </c>
      <c r="C16" s="364" t="s">
        <v>274</v>
      </c>
      <c r="D16" s="365">
        <v>0.85</v>
      </c>
      <c r="E16" s="365">
        <v>0.91</v>
      </c>
      <c r="F16" s="365">
        <v>0.41</v>
      </c>
      <c r="G16" s="365">
        <v>0.48</v>
      </c>
      <c r="H16" s="365">
        <v>0.35</v>
      </c>
      <c r="I16" s="365">
        <v>0.43</v>
      </c>
      <c r="J16" s="365">
        <v>0.59</v>
      </c>
      <c r="K16" s="365">
        <v>0.56</v>
      </c>
      <c r="L16" s="365">
        <v>0.31</v>
      </c>
      <c r="M16" s="365">
        <v>0.37</v>
      </c>
      <c r="N16" s="366"/>
      <c r="O16" s="365">
        <v>0.12</v>
      </c>
      <c r="P16" s="367">
        <v>0.79</v>
      </c>
      <c r="Q16" s="367">
        <v>0.34</v>
      </c>
      <c r="R16" s="367">
        <v>0.37</v>
      </c>
      <c r="S16" s="368">
        <v>0.38</v>
      </c>
      <c r="T16" s="369">
        <f>average(G16:I16)</f>
        <v>0.42</v>
      </c>
      <c r="U16" s="368">
        <v>0.47</v>
      </c>
      <c r="V16" s="370">
        <f>average(E16:R16)</f>
        <v>0.4638461538</v>
      </c>
    </row>
    <row r="17">
      <c r="A17" s="362"/>
      <c r="B17" s="363" t="s">
        <v>367</v>
      </c>
      <c r="C17" s="364" t="s">
        <v>361</v>
      </c>
      <c r="D17" s="399">
        <v>7387.0</v>
      </c>
      <c r="E17" s="399">
        <v>7040.0</v>
      </c>
      <c r="F17" s="399">
        <v>19299.0</v>
      </c>
      <c r="G17" s="399">
        <v>19131.0</v>
      </c>
      <c r="H17" s="399">
        <v>22762.0</v>
      </c>
      <c r="I17" s="399">
        <v>25230.0</v>
      </c>
      <c r="J17" s="399">
        <v>11784.0</v>
      </c>
      <c r="K17" s="399">
        <v>19675.0</v>
      </c>
      <c r="L17" s="399">
        <v>25589.0</v>
      </c>
      <c r="M17" s="399">
        <v>11300.0</v>
      </c>
      <c r="N17" s="366"/>
      <c r="O17" s="400">
        <v>11473.0</v>
      </c>
      <c r="P17" s="401">
        <v>8837.0</v>
      </c>
      <c r="Q17" s="401">
        <v>20638.0</v>
      </c>
      <c r="R17" s="401">
        <v>13493.0</v>
      </c>
      <c r="S17" s="402">
        <v>20963.0</v>
      </c>
      <c r="T17" s="381">
        <v>21398.0</v>
      </c>
      <c r="U17" s="402">
        <v>16435.0</v>
      </c>
      <c r="V17" s="382">
        <v>16692.0</v>
      </c>
    </row>
    <row r="18">
      <c r="A18" s="362"/>
      <c r="B18" s="363" t="s">
        <v>368</v>
      </c>
      <c r="C18" s="364" t="s">
        <v>361</v>
      </c>
      <c r="D18" s="399">
        <v>22118.0</v>
      </c>
      <c r="E18" s="399">
        <v>29376.0</v>
      </c>
      <c r="F18" s="399">
        <v>24229.0</v>
      </c>
      <c r="G18" s="399">
        <v>32035.0</v>
      </c>
      <c r="H18" s="399">
        <v>29212.0</v>
      </c>
      <c r="I18" s="399">
        <v>33238.0</v>
      </c>
      <c r="J18" s="399">
        <v>19261.0</v>
      </c>
      <c r="K18" s="399">
        <v>27914.0</v>
      </c>
      <c r="L18" s="399">
        <v>22605.0</v>
      </c>
      <c r="M18" s="399">
        <v>22555.0</v>
      </c>
      <c r="N18" s="366"/>
      <c r="O18" s="400">
        <v>23754.0</v>
      </c>
      <c r="P18" s="401">
        <v>9171.0</v>
      </c>
      <c r="Q18" s="401">
        <v>21473.0</v>
      </c>
      <c r="R18" s="401">
        <v>26978.0</v>
      </c>
      <c r="S18" s="402">
        <v>26865.0</v>
      </c>
      <c r="T18" s="381">
        <v>32537.0</v>
      </c>
      <c r="U18" s="402">
        <v>26594.0</v>
      </c>
      <c r="V18" s="382">
        <v>32058.0</v>
      </c>
    </row>
    <row r="19">
      <c r="A19" s="362"/>
      <c r="B19" s="363" t="s">
        <v>369</v>
      </c>
      <c r="C19" s="364" t="s">
        <v>274</v>
      </c>
      <c r="D19" s="365">
        <v>0.77</v>
      </c>
      <c r="E19" s="365">
        <v>0.82</v>
      </c>
      <c r="F19" s="365">
        <v>0.57</v>
      </c>
      <c r="G19" s="365">
        <v>0.63</v>
      </c>
      <c r="H19" s="365">
        <v>0.5</v>
      </c>
      <c r="I19" s="365">
        <v>0.49</v>
      </c>
      <c r="J19" s="365">
        <v>0.16</v>
      </c>
      <c r="K19" s="365">
        <v>0.54</v>
      </c>
      <c r="L19" s="365">
        <v>0.34</v>
      </c>
      <c r="M19" s="365">
        <v>0.61</v>
      </c>
      <c r="N19" s="366"/>
      <c r="O19" s="371">
        <v>0.25</v>
      </c>
      <c r="P19" s="372">
        <v>0.12</v>
      </c>
      <c r="Q19" s="372">
        <v>0.33</v>
      </c>
      <c r="R19" s="372">
        <v>0.39</v>
      </c>
      <c r="S19" s="368">
        <v>0.53</v>
      </c>
      <c r="T19" s="403">
        <f t="shared" ref="T19:V19" si="3">average(G19:I19)</f>
        <v>0.54</v>
      </c>
      <c r="U19" s="403">
        <f t="shared" si="3"/>
        <v>0.3833333333</v>
      </c>
      <c r="V19" s="404">
        <f t="shared" si="3"/>
        <v>0.3966666667</v>
      </c>
    </row>
    <row r="20">
      <c r="A20" s="405"/>
      <c r="B20" s="406" t="s">
        <v>370</v>
      </c>
      <c r="C20" s="364" t="s">
        <v>274</v>
      </c>
      <c r="D20" s="365">
        <v>0.87</v>
      </c>
      <c r="E20" s="365">
        <v>0.92</v>
      </c>
      <c r="F20" s="365">
        <v>0.28</v>
      </c>
      <c r="G20" s="365">
        <v>0.41</v>
      </c>
      <c r="H20" s="365">
        <v>0.24</v>
      </c>
      <c r="I20" s="365">
        <v>0.31</v>
      </c>
      <c r="J20" s="365">
        <v>0.79</v>
      </c>
      <c r="K20" s="365">
        <v>0.66</v>
      </c>
      <c r="L20" s="365">
        <v>0.14</v>
      </c>
      <c r="M20" s="365">
        <v>0.41</v>
      </c>
      <c r="N20" s="366"/>
      <c r="O20" s="371" t="s">
        <v>371</v>
      </c>
      <c r="P20" s="372" t="s">
        <v>371</v>
      </c>
      <c r="Q20" s="372">
        <v>0.11</v>
      </c>
      <c r="R20" s="372">
        <v>0.25</v>
      </c>
      <c r="S20" s="368">
        <v>0.26</v>
      </c>
      <c r="T20" s="403">
        <f t="shared" ref="T20:V20" si="4">average(G20:I20)</f>
        <v>0.32</v>
      </c>
      <c r="U20" s="403">
        <f t="shared" si="4"/>
        <v>0.4466666667</v>
      </c>
      <c r="V20" s="404">
        <f t="shared" si="4"/>
        <v>0.5866666667</v>
      </c>
    </row>
    <row r="21">
      <c r="A21" s="362"/>
      <c r="B21" s="363" t="s">
        <v>367</v>
      </c>
      <c r="C21" s="364" t="s">
        <v>361</v>
      </c>
      <c r="D21" s="399">
        <v>6924.0</v>
      </c>
      <c r="E21" s="399">
        <v>6784.0</v>
      </c>
      <c r="F21" s="399">
        <v>18291.0</v>
      </c>
      <c r="G21" s="399">
        <v>15343.0</v>
      </c>
      <c r="H21" s="399">
        <v>21902.0</v>
      </c>
      <c r="I21" s="399">
        <v>16129.0</v>
      </c>
      <c r="J21" s="399">
        <v>13303.0</v>
      </c>
      <c r="K21" s="399">
        <v>21470.0</v>
      </c>
      <c r="L21" s="399">
        <v>55000.0</v>
      </c>
      <c r="M21" s="399">
        <v>7248.0</v>
      </c>
      <c r="N21" s="366"/>
      <c r="O21" s="400" t="s">
        <v>371</v>
      </c>
      <c r="P21" s="401" t="s">
        <v>371</v>
      </c>
      <c r="Q21" s="401">
        <v>14222.0</v>
      </c>
      <c r="R21" s="401">
        <v>3932.0</v>
      </c>
      <c r="S21" s="402">
        <v>19865.0</v>
      </c>
      <c r="T21" s="381">
        <v>15558.0</v>
      </c>
      <c r="U21" s="402">
        <v>13220.0</v>
      </c>
      <c r="V21" s="382">
        <v>11650.0</v>
      </c>
    </row>
    <row r="22">
      <c r="A22" s="362"/>
      <c r="B22" s="407" t="s">
        <v>368</v>
      </c>
      <c r="C22" s="408" t="s">
        <v>361</v>
      </c>
      <c r="D22" s="409">
        <v>20566.0</v>
      </c>
      <c r="E22" s="409">
        <v>24470.0</v>
      </c>
      <c r="F22" s="409">
        <v>23492.0</v>
      </c>
      <c r="G22" s="409">
        <v>30603.0</v>
      </c>
      <c r="H22" s="409">
        <v>25081.0</v>
      </c>
      <c r="I22" s="409">
        <v>31679.0</v>
      </c>
      <c r="J22" s="409">
        <v>44170.0</v>
      </c>
      <c r="K22" s="409">
        <v>37125.0</v>
      </c>
      <c r="L22" s="409">
        <v>17570.0</v>
      </c>
      <c r="M22" s="409">
        <v>10092.0</v>
      </c>
      <c r="N22" s="410"/>
      <c r="O22" s="411">
        <v>33770.0</v>
      </c>
      <c r="P22" s="412">
        <v>9282.0</v>
      </c>
      <c r="Q22" s="412">
        <v>20501.0</v>
      </c>
      <c r="R22" s="412">
        <v>20272.0</v>
      </c>
      <c r="S22" s="413">
        <v>24285.0</v>
      </c>
      <c r="T22" s="391">
        <v>31001.0</v>
      </c>
      <c r="U22" s="413">
        <v>24056.0</v>
      </c>
      <c r="V22" s="392">
        <v>30418.0</v>
      </c>
    </row>
    <row r="23">
      <c r="A23" s="414"/>
      <c r="B23" s="415"/>
      <c r="C23" s="416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S23" s="417"/>
      <c r="T23" s="418"/>
      <c r="U23" s="418"/>
      <c r="V23" s="419"/>
    </row>
    <row r="24">
      <c r="A24" s="420"/>
      <c r="B24" s="421" t="s">
        <v>372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</row>
    <row r="25">
      <c r="A25" s="422"/>
      <c r="B25" s="423" t="s">
        <v>373</v>
      </c>
      <c r="C25" s="424" t="s">
        <v>274</v>
      </c>
      <c r="D25" s="425">
        <v>0.11</v>
      </c>
      <c r="E25" s="426">
        <v>0.11</v>
      </c>
      <c r="F25" s="426">
        <v>0.2</v>
      </c>
      <c r="G25" s="426">
        <v>0.13</v>
      </c>
      <c r="H25" s="426">
        <v>0.19</v>
      </c>
      <c r="I25" s="426">
        <v>0.1</v>
      </c>
      <c r="J25" s="426">
        <v>0.34</v>
      </c>
      <c r="K25" s="426">
        <v>0.14</v>
      </c>
      <c r="L25" s="426">
        <v>0.12</v>
      </c>
      <c r="M25" s="426">
        <v>0.1</v>
      </c>
      <c r="N25" s="366"/>
      <c r="O25" s="427">
        <v>0.11</v>
      </c>
      <c r="P25" s="428" t="s">
        <v>127</v>
      </c>
      <c r="Q25" s="428">
        <v>0.05</v>
      </c>
      <c r="R25" s="428">
        <v>0.2</v>
      </c>
      <c r="S25" s="426">
        <v>0.19</v>
      </c>
      <c r="T25" s="429">
        <f t="shared" ref="T25:T33" si="5">average(G25,I25)</f>
        <v>0.115</v>
      </c>
      <c r="U25" s="426">
        <v>0.18</v>
      </c>
      <c r="V25" s="430">
        <f t="shared" ref="V25:V33" si="6">average(E25,G25,I25,K25,M25,O25,Q25,R25)</f>
        <v>0.1175</v>
      </c>
    </row>
    <row r="26">
      <c r="A26" s="422"/>
      <c r="B26" s="423" t="s">
        <v>374</v>
      </c>
      <c r="C26" s="424" t="s">
        <v>274</v>
      </c>
      <c r="D26" s="425">
        <v>0.03</v>
      </c>
      <c r="E26" s="427">
        <v>0.01</v>
      </c>
      <c r="F26" s="426">
        <v>0.01</v>
      </c>
      <c r="G26" s="427">
        <v>0.01</v>
      </c>
      <c r="H26" s="426">
        <v>0.0</v>
      </c>
      <c r="I26" s="427">
        <v>0.0</v>
      </c>
      <c r="J26" s="426">
        <v>0.0</v>
      </c>
      <c r="K26" s="427">
        <v>0.0</v>
      </c>
      <c r="L26" s="426">
        <v>0.0</v>
      </c>
      <c r="M26" s="427" t="s">
        <v>127</v>
      </c>
      <c r="N26" s="366"/>
      <c r="O26" s="427">
        <v>0.01</v>
      </c>
      <c r="P26" s="428" t="s">
        <v>127</v>
      </c>
      <c r="Q26" s="428" t="s">
        <v>127</v>
      </c>
      <c r="R26" s="428">
        <v>0.01</v>
      </c>
      <c r="S26" s="426">
        <v>0.01</v>
      </c>
      <c r="T26" s="429">
        <f t="shared" si="5"/>
        <v>0.005</v>
      </c>
      <c r="U26" s="426">
        <v>0.01</v>
      </c>
      <c r="V26" s="430">
        <f t="shared" si="6"/>
        <v>0.006666666667</v>
      </c>
    </row>
    <row r="27">
      <c r="A27" s="422"/>
      <c r="B27" s="423" t="s">
        <v>375</v>
      </c>
      <c r="C27" s="424" t="s">
        <v>274</v>
      </c>
      <c r="D27" s="425">
        <v>0.07</v>
      </c>
      <c r="E27" s="427">
        <v>0.04</v>
      </c>
      <c r="F27" s="426">
        <v>0.01</v>
      </c>
      <c r="G27" s="427">
        <v>0.0</v>
      </c>
      <c r="H27" s="426">
        <v>0.01</v>
      </c>
      <c r="I27" s="427">
        <v>0.0</v>
      </c>
      <c r="J27" s="426">
        <v>0.0</v>
      </c>
      <c r="K27" s="427">
        <v>0.0</v>
      </c>
      <c r="L27" s="426">
        <v>0.0</v>
      </c>
      <c r="M27" s="427" t="s">
        <v>127</v>
      </c>
      <c r="N27" s="366"/>
      <c r="O27" s="427" t="s">
        <v>127</v>
      </c>
      <c r="P27" s="428" t="s">
        <v>127</v>
      </c>
      <c r="Q27" s="428" t="s">
        <v>127</v>
      </c>
      <c r="R27" s="428">
        <v>0.03</v>
      </c>
      <c r="S27" s="426">
        <v>0.01</v>
      </c>
      <c r="T27" s="429">
        <f t="shared" si="5"/>
        <v>0</v>
      </c>
      <c r="U27" s="426">
        <v>0.02</v>
      </c>
      <c r="V27" s="430">
        <f t="shared" si="6"/>
        <v>0.014</v>
      </c>
    </row>
    <row r="28">
      <c r="A28" s="422"/>
      <c r="B28" s="423" t="s">
        <v>376</v>
      </c>
      <c r="C28" s="424" t="s">
        <v>274</v>
      </c>
      <c r="D28" s="425">
        <v>0.02</v>
      </c>
      <c r="E28" s="427">
        <v>0.02</v>
      </c>
      <c r="F28" s="426">
        <v>0.04</v>
      </c>
      <c r="G28" s="427">
        <v>0.03</v>
      </c>
      <c r="H28" s="426">
        <v>0.04</v>
      </c>
      <c r="I28" s="427">
        <v>0.03</v>
      </c>
      <c r="J28" s="426">
        <v>0.0</v>
      </c>
      <c r="K28" s="427">
        <v>0.0</v>
      </c>
      <c r="L28" s="426">
        <v>0.06</v>
      </c>
      <c r="M28" s="427" t="s">
        <v>127</v>
      </c>
      <c r="N28" s="366"/>
      <c r="O28" s="427">
        <v>0.0</v>
      </c>
      <c r="P28" s="428" t="s">
        <v>127</v>
      </c>
      <c r="Q28" s="428" t="s">
        <v>127</v>
      </c>
      <c r="R28" s="428">
        <v>0.0</v>
      </c>
      <c r="S28" s="426">
        <v>0.04</v>
      </c>
      <c r="T28" s="429">
        <f t="shared" si="5"/>
        <v>0.03</v>
      </c>
      <c r="U28" s="426">
        <v>0.03</v>
      </c>
      <c r="V28" s="430">
        <f t="shared" si="6"/>
        <v>0.01333333333</v>
      </c>
    </row>
    <row r="29">
      <c r="A29" s="422"/>
      <c r="B29" s="423" t="s">
        <v>377</v>
      </c>
      <c r="C29" s="424" t="s">
        <v>274</v>
      </c>
      <c r="D29" s="425">
        <v>0.02</v>
      </c>
      <c r="E29" s="427">
        <v>0.05</v>
      </c>
      <c r="F29" s="426">
        <v>0.05</v>
      </c>
      <c r="G29" s="427">
        <v>0.08</v>
      </c>
      <c r="H29" s="426">
        <v>0.05</v>
      </c>
      <c r="I29" s="427">
        <v>0.1</v>
      </c>
      <c r="J29" s="426">
        <v>0.04</v>
      </c>
      <c r="K29" s="427">
        <v>0.44</v>
      </c>
      <c r="L29" s="426">
        <v>0.03</v>
      </c>
      <c r="M29" s="427">
        <v>0.13</v>
      </c>
      <c r="N29" s="366"/>
      <c r="O29" s="427" t="s">
        <v>127</v>
      </c>
      <c r="P29" s="428">
        <v>0.02</v>
      </c>
      <c r="Q29" s="428">
        <v>0.03</v>
      </c>
      <c r="R29" s="428">
        <v>0.1</v>
      </c>
      <c r="S29" s="426">
        <v>0.05</v>
      </c>
      <c r="T29" s="429">
        <f t="shared" si="5"/>
        <v>0.09</v>
      </c>
      <c r="U29" s="426">
        <v>0.05</v>
      </c>
      <c r="V29" s="430">
        <f t="shared" si="6"/>
        <v>0.1328571429</v>
      </c>
    </row>
    <row r="30">
      <c r="A30" s="422"/>
      <c r="B30" s="423" t="s">
        <v>378</v>
      </c>
      <c r="C30" s="424" t="s">
        <v>274</v>
      </c>
      <c r="D30" s="425">
        <v>0.01</v>
      </c>
      <c r="E30" s="427">
        <v>0.02</v>
      </c>
      <c r="F30" s="426">
        <v>0.02</v>
      </c>
      <c r="G30" s="427">
        <v>0.02</v>
      </c>
      <c r="H30" s="426">
        <v>0.01</v>
      </c>
      <c r="I30" s="427">
        <v>0.01</v>
      </c>
      <c r="J30" s="426">
        <v>0.0</v>
      </c>
      <c r="K30" s="427" t="s">
        <v>127</v>
      </c>
      <c r="L30" s="426">
        <v>0.07</v>
      </c>
      <c r="M30" s="427">
        <v>0.05</v>
      </c>
      <c r="N30" s="366"/>
      <c r="O30" s="427">
        <v>0.01</v>
      </c>
      <c r="P30" s="428" t="s">
        <v>127</v>
      </c>
      <c r="Q30" s="428" t="s">
        <v>127</v>
      </c>
      <c r="R30" s="428">
        <v>0.01</v>
      </c>
      <c r="S30" s="426">
        <v>0.02</v>
      </c>
      <c r="T30" s="429">
        <f t="shared" si="5"/>
        <v>0.015</v>
      </c>
      <c r="U30" s="426">
        <v>0.02</v>
      </c>
      <c r="V30" s="430">
        <f t="shared" si="6"/>
        <v>0.02</v>
      </c>
    </row>
    <row r="31">
      <c r="A31" s="422"/>
      <c r="B31" s="423" t="s">
        <v>379</v>
      </c>
      <c r="C31" s="424" t="s">
        <v>274</v>
      </c>
      <c r="D31" s="425">
        <v>0.13</v>
      </c>
      <c r="E31" s="427">
        <v>0.17</v>
      </c>
      <c r="F31" s="426">
        <v>0.34</v>
      </c>
      <c r="G31" s="427">
        <v>0.39</v>
      </c>
      <c r="H31" s="426">
        <v>0.35</v>
      </c>
      <c r="I31" s="427">
        <v>0.4</v>
      </c>
      <c r="J31" s="426">
        <v>0.21</v>
      </c>
      <c r="K31" s="427">
        <v>0.15</v>
      </c>
      <c r="L31" s="426">
        <v>0.32</v>
      </c>
      <c r="M31" s="427">
        <v>0.17</v>
      </c>
      <c r="N31" s="366"/>
      <c r="O31" s="427">
        <v>0.25</v>
      </c>
      <c r="P31" s="428" t="s">
        <v>127</v>
      </c>
      <c r="Q31" s="428" t="s">
        <v>127</v>
      </c>
      <c r="R31" s="428">
        <v>0.29</v>
      </c>
      <c r="S31" s="426">
        <v>0.35</v>
      </c>
      <c r="T31" s="429">
        <f t="shared" si="5"/>
        <v>0.395</v>
      </c>
      <c r="U31" s="426">
        <v>0.31</v>
      </c>
      <c r="V31" s="430">
        <f t="shared" si="6"/>
        <v>0.26</v>
      </c>
    </row>
    <row r="32">
      <c r="A32" s="431"/>
      <c r="B32" s="432" t="s">
        <v>380</v>
      </c>
      <c r="C32" s="424" t="s">
        <v>274</v>
      </c>
      <c r="D32" s="425">
        <v>0.5</v>
      </c>
      <c r="E32" s="427">
        <v>0.55</v>
      </c>
      <c r="F32" s="426">
        <v>0.28</v>
      </c>
      <c r="G32" s="427">
        <v>0.31</v>
      </c>
      <c r="H32" s="426">
        <v>0.3</v>
      </c>
      <c r="I32" s="427">
        <v>0.32</v>
      </c>
      <c r="J32" s="426">
        <v>0.39</v>
      </c>
      <c r="K32" s="427">
        <v>0.26</v>
      </c>
      <c r="L32" s="426">
        <v>0.39</v>
      </c>
      <c r="M32" s="427">
        <v>0.43</v>
      </c>
      <c r="N32" s="366"/>
      <c r="O32" s="427">
        <v>0.53</v>
      </c>
      <c r="P32" s="428">
        <v>0.32</v>
      </c>
      <c r="Q32" s="428">
        <v>0.62</v>
      </c>
      <c r="R32" s="428">
        <v>0.34</v>
      </c>
      <c r="S32" s="426">
        <v>0.29</v>
      </c>
      <c r="T32" s="429">
        <f t="shared" si="5"/>
        <v>0.315</v>
      </c>
      <c r="U32" s="426">
        <v>0.33</v>
      </c>
      <c r="V32" s="430">
        <f t="shared" si="6"/>
        <v>0.42</v>
      </c>
    </row>
    <row r="33">
      <c r="A33" s="431"/>
      <c r="B33" s="433" t="s">
        <v>381</v>
      </c>
      <c r="C33" s="434" t="s">
        <v>274</v>
      </c>
      <c r="D33" s="435">
        <v>0.09</v>
      </c>
      <c r="E33" s="436">
        <v>0.04</v>
      </c>
      <c r="F33" s="437">
        <v>0.06</v>
      </c>
      <c r="G33" s="436">
        <v>0.02</v>
      </c>
      <c r="H33" s="437">
        <v>0.04</v>
      </c>
      <c r="I33" s="436">
        <v>0.04</v>
      </c>
      <c r="J33" s="437">
        <v>0.02</v>
      </c>
      <c r="K33" s="436" t="s">
        <v>127</v>
      </c>
      <c r="L33" s="437">
        <v>0.0</v>
      </c>
      <c r="M33" s="436">
        <v>0.12</v>
      </c>
      <c r="N33" s="410"/>
      <c r="O33" s="436">
        <v>0.09</v>
      </c>
      <c r="P33" s="438">
        <v>0.66</v>
      </c>
      <c r="Q33" s="438">
        <v>0.3</v>
      </c>
      <c r="R33" s="438">
        <v>0.02</v>
      </c>
      <c r="S33" s="437">
        <v>0.05</v>
      </c>
      <c r="T33" s="439">
        <f t="shared" si="5"/>
        <v>0.03</v>
      </c>
      <c r="U33" s="437">
        <v>0.06</v>
      </c>
      <c r="V33" s="440">
        <f t="shared" si="6"/>
        <v>0.09</v>
      </c>
    </row>
  </sheetData>
  <mergeCells count="10">
    <mergeCell ref="B5:V5"/>
    <mergeCell ref="B15:V15"/>
    <mergeCell ref="B24:V24"/>
    <mergeCell ref="B3:V3"/>
    <mergeCell ref="F4:G4"/>
    <mergeCell ref="H4:I4"/>
    <mergeCell ref="J4:K4"/>
    <mergeCell ref="L4:M4"/>
    <mergeCell ref="S4:T4"/>
    <mergeCell ref="U4:V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16.0"/>
    <col customWidth="1" min="2" max="2" width="10.75"/>
    <col customWidth="1" min="3" max="3" width="10.13"/>
    <col customWidth="1" min="4" max="4" width="11.13"/>
    <col customWidth="1" min="5" max="5" width="12.13"/>
    <col customWidth="1" min="6" max="6" width="12.75"/>
    <col customWidth="1" min="7" max="7" width="10.5"/>
    <col customWidth="1" min="8" max="9" width="11.63"/>
    <col customWidth="1" min="10" max="10" width="13.88"/>
  </cols>
  <sheetData>
    <row r="1">
      <c r="A1" s="36"/>
      <c r="B1" s="37" t="s">
        <v>14</v>
      </c>
      <c r="F1" s="38" t="s">
        <v>15</v>
      </c>
      <c r="J1" s="39" t="s">
        <v>16</v>
      </c>
      <c r="K1" s="39"/>
      <c r="L1" s="40" t="s">
        <v>17</v>
      </c>
      <c r="M1" s="40"/>
      <c r="N1" s="40"/>
      <c r="O1" s="40"/>
      <c r="P1" s="40"/>
    </row>
    <row r="2">
      <c r="A2" s="36" t="s">
        <v>18</v>
      </c>
      <c r="B2" s="41" t="s">
        <v>19</v>
      </c>
      <c r="C2" s="42" t="s">
        <v>20</v>
      </c>
      <c r="D2" s="41" t="s">
        <v>21</v>
      </c>
      <c r="E2" s="42" t="s">
        <v>22</v>
      </c>
      <c r="F2" s="41" t="s">
        <v>19</v>
      </c>
      <c r="G2" s="42" t="s">
        <v>20</v>
      </c>
      <c r="H2" s="42" t="s">
        <v>21</v>
      </c>
      <c r="I2" s="42" t="s">
        <v>22</v>
      </c>
      <c r="J2" s="41">
        <v>2018.0</v>
      </c>
      <c r="K2" s="42">
        <v>2021.0</v>
      </c>
      <c r="L2" s="41" t="s">
        <v>19</v>
      </c>
      <c r="M2" s="42" t="s">
        <v>20</v>
      </c>
      <c r="N2" s="42"/>
      <c r="O2" s="42"/>
      <c r="P2" s="42"/>
    </row>
    <row r="3">
      <c r="A3" s="43" t="s">
        <v>23</v>
      </c>
      <c r="B3" s="44">
        <v>414.0</v>
      </c>
      <c r="C3" s="45">
        <v>416.0</v>
      </c>
      <c r="D3" s="46">
        <v>0.86</v>
      </c>
      <c r="E3" s="47">
        <v>0.8581730769230769</v>
      </c>
      <c r="F3" s="44">
        <v>5533.0</v>
      </c>
      <c r="G3" s="48">
        <v>5281.0</v>
      </c>
      <c r="H3" s="49">
        <v>0.68</v>
      </c>
      <c r="I3" s="50">
        <v>0.6807422836583981</v>
      </c>
      <c r="J3" s="51">
        <v>0.64</v>
      </c>
      <c r="K3" s="52">
        <v>0.6582086725998864</v>
      </c>
      <c r="L3" s="53">
        <v>20.0</v>
      </c>
      <c r="M3" s="48">
        <v>4.0</v>
      </c>
      <c r="N3" s="54" t="str">
        <f t="shared" ref="N3:N38" si="1">IF(L3&lt;M3,"Increased","Decresed")</f>
        <v>Decresed</v>
      </c>
      <c r="O3" s="55">
        <f t="shared" ref="O3:O7" si="2">(M3-L3)/L3</f>
        <v>-0.8</v>
      </c>
      <c r="P3" s="54"/>
    </row>
    <row r="4">
      <c r="A4" s="56" t="s">
        <v>24</v>
      </c>
      <c r="B4" s="57">
        <v>63621.0</v>
      </c>
      <c r="C4" s="58">
        <v>61948.0</v>
      </c>
      <c r="D4" s="57">
        <v>80.0</v>
      </c>
      <c r="E4" s="59">
        <v>0.8040614709110867</v>
      </c>
      <c r="F4" s="57" t="s">
        <v>25</v>
      </c>
      <c r="G4" s="60">
        <v>320724.0</v>
      </c>
      <c r="H4" s="49">
        <v>0.72</v>
      </c>
      <c r="I4" s="61">
        <v>0.7052668337885534</v>
      </c>
      <c r="J4" s="51">
        <v>0.49</v>
      </c>
      <c r="K4" s="52">
        <v>0.505253738416832</v>
      </c>
      <c r="L4" s="53">
        <v>9160.0</v>
      </c>
      <c r="M4" s="60">
        <v>12386.0</v>
      </c>
      <c r="N4" s="54" t="str">
        <f t="shared" si="1"/>
        <v>Increased</v>
      </c>
      <c r="O4" s="55">
        <f t="shared" si="2"/>
        <v>0.3521834061</v>
      </c>
      <c r="P4" s="54"/>
    </row>
    <row r="5">
      <c r="A5" s="56" t="s">
        <v>26</v>
      </c>
      <c r="B5" s="57">
        <v>3793.0</v>
      </c>
      <c r="C5" s="58">
        <v>3603.0</v>
      </c>
      <c r="D5" s="57">
        <v>88.0</v>
      </c>
      <c r="E5" s="59">
        <v>0.8975853455453788</v>
      </c>
      <c r="F5" s="57">
        <v>23385.0</v>
      </c>
      <c r="G5" s="60">
        <v>23707.0</v>
      </c>
      <c r="H5" s="49">
        <v>0.74</v>
      </c>
      <c r="I5" s="61">
        <v>0.7742017125743451</v>
      </c>
      <c r="J5" s="51">
        <v>0.46</v>
      </c>
      <c r="K5" s="52">
        <v>0.48517315560804825</v>
      </c>
      <c r="L5" s="53">
        <v>691.0</v>
      </c>
      <c r="M5" s="60">
        <v>769.0</v>
      </c>
      <c r="N5" s="54" t="str">
        <f t="shared" si="1"/>
        <v>Increased</v>
      </c>
      <c r="O5" s="55">
        <f t="shared" si="2"/>
        <v>0.1128798842</v>
      </c>
      <c r="P5" s="54"/>
    </row>
    <row r="6">
      <c r="A6" s="56" t="s">
        <v>27</v>
      </c>
      <c r="B6" s="57">
        <v>66324.0</v>
      </c>
      <c r="C6" s="58">
        <v>60859.0</v>
      </c>
      <c r="D6" s="57">
        <v>94.0</v>
      </c>
      <c r="E6" s="59">
        <v>0.944363200184032</v>
      </c>
      <c r="F6" s="57" t="s">
        <v>28</v>
      </c>
      <c r="G6" s="60">
        <v>352944.0</v>
      </c>
      <c r="H6" s="49">
        <v>0.86</v>
      </c>
      <c r="I6" s="61">
        <v>0.8693673783943062</v>
      </c>
      <c r="J6" s="51">
        <v>0.39</v>
      </c>
      <c r="K6" s="52">
        <v>0.4101273856475815</v>
      </c>
      <c r="L6" s="53">
        <v>3383.0</v>
      </c>
      <c r="M6" s="60">
        <v>3361.0</v>
      </c>
      <c r="N6" s="54" t="str">
        <f t="shared" si="1"/>
        <v>Decresed</v>
      </c>
      <c r="O6" s="55">
        <f t="shared" si="2"/>
        <v>-0.006503103754</v>
      </c>
      <c r="P6" s="54"/>
    </row>
    <row r="7">
      <c r="A7" s="56" t="s">
        <v>29</v>
      </c>
      <c r="B7" s="57">
        <v>89224.0</v>
      </c>
      <c r="C7" s="58">
        <v>93165.0</v>
      </c>
      <c r="D7" s="57">
        <v>90.0</v>
      </c>
      <c r="E7" s="59">
        <v>0.9020554929426287</v>
      </c>
      <c r="F7" s="57" t="s">
        <v>30</v>
      </c>
      <c r="G7" s="60">
        <v>582876.0</v>
      </c>
      <c r="H7" s="49">
        <v>0.85</v>
      </c>
      <c r="I7" s="61">
        <v>0.8422254476080676</v>
      </c>
      <c r="J7" s="51">
        <v>0.4</v>
      </c>
      <c r="K7" s="52">
        <v>0.4026859915316465</v>
      </c>
      <c r="L7" s="53">
        <v>3700.0</v>
      </c>
      <c r="M7" s="60">
        <v>5227.0</v>
      </c>
      <c r="N7" s="54" t="str">
        <f t="shared" si="1"/>
        <v>Increased</v>
      </c>
      <c r="O7" s="55">
        <f t="shared" si="2"/>
        <v>0.4127027027</v>
      </c>
      <c r="P7" s="54"/>
    </row>
    <row r="8">
      <c r="A8" s="56" t="s">
        <v>31</v>
      </c>
      <c r="B8" s="62">
        <v>229.0</v>
      </c>
      <c r="C8" s="58">
        <v>233.0</v>
      </c>
      <c r="D8" s="57">
        <v>14.0</v>
      </c>
      <c r="E8" s="59">
        <v>0.0</v>
      </c>
      <c r="F8" s="57">
        <v>9887.0</v>
      </c>
      <c r="G8" s="60">
        <v>9345.0</v>
      </c>
      <c r="H8" s="49">
        <v>0.1</v>
      </c>
      <c r="I8" s="61">
        <v>0.0</v>
      </c>
      <c r="J8" s="51">
        <v>0.82</v>
      </c>
      <c r="K8" s="52">
        <v>0.8056714820759765</v>
      </c>
      <c r="L8" s="53"/>
      <c r="M8" s="60">
        <v>0.0</v>
      </c>
      <c r="N8" s="54" t="str">
        <f t="shared" si="1"/>
        <v>Decresed</v>
      </c>
      <c r="O8" s="55"/>
      <c r="P8" s="54"/>
    </row>
    <row r="9">
      <c r="A9" s="56" t="s">
        <v>32</v>
      </c>
      <c r="B9" s="57">
        <v>56274.0</v>
      </c>
      <c r="C9" s="58">
        <v>56512.0</v>
      </c>
      <c r="D9" s="57">
        <v>89.0</v>
      </c>
      <c r="E9" s="59">
        <v>0.8877406568516422</v>
      </c>
      <c r="F9" s="57" t="s">
        <v>33</v>
      </c>
      <c r="G9" s="60">
        <v>260782.0</v>
      </c>
      <c r="H9" s="49">
        <v>0.76</v>
      </c>
      <c r="I9" s="61">
        <v>0.7540359380632099</v>
      </c>
      <c r="J9" s="51">
        <v>0.47</v>
      </c>
      <c r="K9" s="52">
        <v>0.4789786104869201</v>
      </c>
      <c r="L9" s="53">
        <v>4205.0</v>
      </c>
      <c r="M9" s="60">
        <v>5480.0</v>
      </c>
      <c r="N9" s="54" t="str">
        <f t="shared" si="1"/>
        <v>Increased</v>
      </c>
      <c r="O9" s="55">
        <f t="shared" ref="O9:O38" si="3">(M9-L9)/L9</f>
        <v>0.3032104637</v>
      </c>
      <c r="P9" s="54"/>
    </row>
    <row r="10">
      <c r="A10" s="56" t="s">
        <v>34</v>
      </c>
      <c r="B10" s="57">
        <v>486.0</v>
      </c>
      <c r="C10" s="58">
        <v>460.0</v>
      </c>
      <c r="D10" s="57" t="s">
        <v>35</v>
      </c>
      <c r="E10" s="59">
        <v>0.8543478260869565</v>
      </c>
      <c r="F10" s="57" t="s">
        <v>36</v>
      </c>
      <c r="G10" s="60">
        <v>4489.0</v>
      </c>
      <c r="H10" s="63" t="s">
        <v>37</v>
      </c>
      <c r="I10" s="61">
        <v>0.7188683448429495</v>
      </c>
      <c r="J10" s="64" t="s">
        <v>38</v>
      </c>
      <c r="K10" s="52">
        <v>0.6426821118289151</v>
      </c>
      <c r="L10" s="53">
        <v>1.0</v>
      </c>
      <c r="M10" s="60">
        <v>1.0</v>
      </c>
      <c r="N10" s="54" t="str">
        <f t="shared" si="1"/>
        <v>Decresed</v>
      </c>
      <c r="O10" s="55">
        <f t="shared" si="3"/>
        <v>0</v>
      </c>
      <c r="P10" s="54"/>
    </row>
    <row r="11">
      <c r="A11" s="56" t="s">
        <v>39</v>
      </c>
      <c r="B11" s="57">
        <v>5703.0</v>
      </c>
      <c r="C11" s="58">
        <v>5619.0</v>
      </c>
      <c r="D11" s="57">
        <v>4.0</v>
      </c>
      <c r="E11" s="59">
        <v>0.0402206798362698</v>
      </c>
      <c r="F11" s="57" t="s">
        <v>40</v>
      </c>
      <c r="G11" s="60">
        <v>151600.0</v>
      </c>
      <c r="H11" s="49">
        <v>0.02</v>
      </c>
      <c r="I11" s="61">
        <v>0.02595646437994723</v>
      </c>
      <c r="J11" s="51">
        <v>0.74</v>
      </c>
      <c r="K11" s="52">
        <v>0.7351451187335092</v>
      </c>
      <c r="L11" s="53">
        <v>13.0</v>
      </c>
      <c r="M11" s="60">
        <v>19.0</v>
      </c>
      <c r="N11" s="54" t="str">
        <f t="shared" si="1"/>
        <v>Increased</v>
      </c>
      <c r="O11" s="55">
        <f t="shared" si="3"/>
        <v>0.4615384615</v>
      </c>
      <c r="P11" s="54"/>
    </row>
    <row r="12">
      <c r="A12" s="56" t="s">
        <v>41</v>
      </c>
      <c r="B12" s="57">
        <v>1486.0</v>
      </c>
      <c r="C12" s="58">
        <v>1510.0</v>
      </c>
      <c r="D12" s="57">
        <v>78.0</v>
      </c>
      <c r="E12" s="59">
        <v>0.7847682119205298</v>
      </c>
      <c r="F12" s="57">
        <v>13676.0</v>
      </c>
      <c r="G12" s="60">
        <v>13836.0</v>
      </c>
      <c r="H12" s="49">
        <v>0.64</v>
      </c>
      <c r="I12" s="61">
        <v>0.6576322636600174</v>
      </c>
      <c r="J12" s="51">
        <v>0.8</v>
      </c>
      <c r="K12" s="52">
        <v>0.8050737207285342</v>
      </c>
      <c r="L12" s="53">
        <v>239.0</v>
      </c>
      <c r="M12" s="60">
        <v>243.0</v>
      </c>
      <c r="N12" s="54" t="str">
        <f t="shared" si="1"/>
        <v>Increased</v>
      </c>
      <c r="O12" s="55">
        <f t="shared" si="3"/>
        <v>0.01673640167</v>
      </c>
      <c r="P12" s="54"/>
    </row>
    <row r="13">
      <c r="A13" s="56" t="s">
        <v>42</v>
      </c>
      <c r="B13" s="57">
        <v>54581.0</v>
      </c>
      <c r="C13" s="58">
        <v>53851.0</v>
      </c>
      <c r="D13" s="57">
        <v>77.0</v>
      </c>
      <c r="E13" s="59">
        <v>0.7695121724759058</v>
      </c>
      <c r="F13" s="57" t="s">
        <v>43</v>
      </c>
      <c r="G13" s="60">
        <v>378118.0</v>
      </c>
      <c r="H13" s="49">
        <v>0.66</v>
      </c>
      <c r="I13" s="61">
        <v>0.6589477358919702</v>
      </c>
      <c r="J13" s="51">
        <v>0.53</v>
      </c>
      <c r="K13" s="52">
        <v>0.538797412447966</v>
      </c>
      <c r="L13" s="53">
        <v>1275.0</v>
      </c>
      <c r="M13" s="60">
        <v>1657.0</v>
      </c>
      <c r="N13" s="54" t="str">
        <f t="shared" si="1"/>
        <v>Increased</v>
      </c>
      <c r="O13" s="55">
        <f t="shared" si="3"/>
        <v>0.2996078431</v>
      </c>
      <c r="P13" s="54"/>
    </row>
    <row r="14">
      <c r="A14" s="56" t="s">
        <v>44</v>
      </c>
      <c r="B14" s="57">
        <v>23534.0</v>
      </c>
      <c r="C14" s="58">
        <v>23726.0</v>
      </c>
      <c r="D14" s="57">
        <v>77.0</v>
      </c>
      <c r="E14" s="59">
        <v>0.7589985669729411</v>
      </c>
      <c r="F14" s="57" t="s">
        <v>45</v>
      </c>
      <c r="G14" s="60">
        <v>237594.0</v>
      </c>
      <c r="H14" s="49">
        <v>0.63</v>
      </c>
      <c r="I14" s="61">
        <v>0.6098217968467217</v>
      </c>
      <c r="J14" s="51">
        <v>0.61</v>
      </c>
      <c r="K14" s="52">
        <v>0.625200973088546</v>
      </c>
      <c r="L14" s="53">
        <v>461.0</v>
      </c>
      <c r="M14" s="60">
        <v>841.0</v>
      </c>
      <c r="N14" s="54" t="str">
        <f t="shared" si="1"/>
        <v>Increased</v>
      </c>
      <c r="O14" s="55">
        <f t="shared" si="3"/>
        <v>0.8242950108</v>
      </c>
      <c r="P14" s="54"/>
    </row>
    <row r="15">
      <c r="A15" s="56" t="s">
        <v>46</v>
      </c>
      <c r="B15" s="57">
        <v>18212.0</v>
      </c>
      <c r="C15" s="58">
        <v>18028.0</v>
      </c>
      <c r="D15" s="57">
        <v>96.0</v>
      </c>
      <c r="E15" s="59">
        <v>0.9524628355890836</v>
      </c>
      <c r="F15" s="65" t="s">
        <v>47</v>
      </c>
      <c r="G15" s="60">
        <v>100137.0</v>
      </c>
      <c r="H15" s="49">
        <v>0.89</v>
      </c>
      <c r="I15" s="61">
        <v>0.8798346265616106</v>
      </c>
      <c r="J15" s="51">
        <v>0.51</v>
      </c>
      <c r="K15" s="52">
        <v>0.5187592997593298</v>
      </c>
      <c r="L15" s="53">
        <v>1566.0</v>
      </c>
      <c r="M15" s="60">
        <v>3039.0</v>
      </c>
      <c r="N15" s="54" t="str">
        <f t="shared" si="1"/>
        <v>Increased</v>
      </c>
      <c r="O15" s="55">
        <f t="shared" si="3"/>
        <v>0.9406130268</v>
      </c>
      <c r="P15" s="54" t="str">
        <f>sub(F15,G15)</f>
        <v>#NAME?</v>
      </c>
      <c r="Q15" s="20">
        <f>(M15-L15)</f>
        <v>1473</v>
      </c>
    </row>
    <row r="16">
      <c r="A16" s="56" t="s">
        <v>48</v>
      </c>
      <c r="B16" s="57">
        <v>29708.0</v>
      </c>
      <c r="C16" s="58">
        <v>28805.0</v>
      </c>
      <c r="D16" s="57">
        <v>89.0</v>
      </c>
      <c r="E16" s="59">
        <v>0.8871723659086964</v>
      </c>
      <c r="F16" s="57" t="s">
        <v>49</v>
      </c>
      <c r="G16" s="60">
        <v>167106.0</v>
      </c>
      <c r="H16" s="49">
        <v>0.78</v>
      </c>
      <c r="I16" s="61">
        <v>0.7625698658336625</v>
      </c>
      <c r="J16" s="51">
        <v>0.47</v>
      </c>
      <c r="K16" s="52">
        <v>0.4806948882745084</v>
      </c>
      <c r="L16" s="53">
        <v>2230.0</v>
      </c>
      <c r="M16" s="60">
        <v>2448.0</v>
      </c>
      <c r="N16" s="54" t="str">
        <f t="shared" si="1"/>
        <v>Increased</v>
      </c>
      <c r="O16" s="55">
        <f t="shared" si="3"/>
        <v>0.09775784753</v>
      </c>
      <c r="P16" s="54"/>
    </row>
    <row r="17">
      <c r="A17" s="56" t="s">
        <v>50</v>
      </c>
      <c r="B17" s="57">
        <v>45908.0</v>
      </c>
      <c r="C17" s="58">
        <v>44855.0</v>
      </c>
      <c r="D17" s="57">
        <v>91.0</v>
      </c>
      <c r="E17" s="59">
        <v>0.9091517110690001</v>
      </c>
      <c r="F17" s="57" t="s">
        <v>51</v>
      </c>
      <c r="G17" s="60">
        <v>210418.0</v>
      </c>
      <c r="H17" s="49">
        <v>0.8</v>
      </c>
      <c r="I17" s="61">
        <v>0.794361699094184</v>
      </c>
      <c r="J17" s="51">
        <v>0.39</v>
      </c>
      <c r="K17" s="52">
        <v>0.3950279919018335</v>
      </c>
      <c r="L17" s="53">
        <v>6200.0</v>
      </c>
      <c r="M17" s="60">
        <v>7322.0</v>
      </c>
      <c r="N17" s="54" t="str">
        <f t="shared" si="1"/>
        <v>Increased</v>
      </c>
      <c r="O17" s="55">
        <f t="shared" si="3"/>
        <v>0.1809677419</v>
      </c>
      <c r="P17" s="54"/>
    </row>
    <row r="18">
      <c r="A18" s="56" t="s">
        <v>52</v>
      </c>
      <c r="B18" s="57">
        <v>78233.0</v>
      </c>
      <c r="C18" s="58">
        <v>76450.0</v>
      </c>
      <c r="D18" s="57">
        <v>72.0</v>
      </c>
      <c r="E18" s="59">
        <v>0.7183518639633748</v>
      </c>
      <c r="F18" s="57" t="s">
        <v>53</v>
      </c>
      <c r="G18" s="60">
        <v>431386.0</v>
      </c>
      <c r="H18" s="49">
        <v>0.61</v>
      </c>
      <c r="I18" s="61">
        <v>0.5703824417111357</v>
      </c>
      <c r="J18" s="51">
        <v>0.55</v>
      </c>
      <c r="K18" s="52">
        <v>0.582318387708456</v>
      </c>
      <c r="L18" s="53">
        <v>4340.0</v>
      </c>
      <c r="M18" s="60">
        <v>7848.0</v>
      </c>
      <c r="N18" s="54" t="str">
        <f t="shared" si="1"/>
        <v>Increased</v>
      </c>
      <c r="O18" s="55">
        <f t="shared" si="3"/>
        <v>0.8082949309</v>
      </c>
      <c r="P18" s="54"/>
    </row>
    <row r="19">
      <c r="A19" s="56" t="s">
        <v>54</v>
      </c>
      <c r="B19" s="57">
        <v>16701.0</v>
      </c>
      <c r="C19" s="58">
        <v>16240.0</v>
      </c>
      <c r="D19" s="57">
        <v>80.0</v>
      </c>
      <c r="E19" s="59">
        <v>0.7953817733990147</v>
      </c>
      <c r="F19" s="57" t="s">
        <v>55</v>
      </c>
      <c r="G19" s="60">
        <v>268473.0</v>
      </c>
      <c r="H19" s="49">
        <v>0.75</v>
      </c>
      <c r="I19" s="61">
        <v>0.7457397950631907</v>
      </c>
      <c r="J19" s="51">
        <v>0.78</v>
      </c>
      <c r="K19" s="52">
        <v>0.7944374294621805</v>
      </c>
      <c r="L19" s="53">
        <v>351.0</v>
      </c>
      <c r="M19" s="60">
        <v>310.0</v>
      </c>
      <c r="N19" s="54" t="str">
        <f t="shared" si="1"/>
        <v>Decresed</v>
      </c>
      <c r="O19" s="55">
        <f t="shared" si="3"/>
        <v>-0.1168091168</v>
      </c>
      <c r="P19" s="54"/>
    </row>
    <row r="20">
      <c r="A20" s="56" t="s">
        <v>56</v>
      </c>
      <c r="B20" s="66"/>
      <c r="C20" s="58">
        <v>978.0</v>
      </c>
      <c r="D20" s="66"/>
      <c r="E20" s="59">
        <v>0.934560327198364</v>
      </c>
      <c r="F20" s="66"/>
      <c r="G20" s="60">
        <v>6155.0</v>
      </c>
      <c r="H20" s="67"/>
      <c r="I20" s="61">
        <v>0.861251015434606</v>
      </c>
      <c r="J20" s="51"/>
      <c r="K20" s="52">
        <v>0.5072298943948009</v>
      </c>
      <c r="L20" s="68"/>
      <c r="M20" s="60">
        <v>68.0</v>
      </c>
      <c r="N20" s="54" t="str">
        <f t="shared" si="1"/>
        <v>Increased</v>
      </c>
      <c r="O20" s="55" t="str">
        <f t="shared" si="3"/>
        <v>#DIV/0!</v>
      </c>
      <c r="P20" s="54"/>
    </row>
    <row r="21">
      <c r="A21" s="56" t="s">
        <v>57</v>
      </c>
      <c r="B21" s="57">
        <v>45.0</v>
      </c>
      <c r="C21" s="58">
        <v>38.0</v>
      </c>
      <c r="D21" s="57">
        <v>73.0</v>
      </c>
      <c r="E21" s="59">
        <v>1.0</v>
      </c>
      <c r="F21" s="57">
        <v>1059.0</v>
      </c>
      <c r="G21" s="60">
        <v>806.0</v>
      </c>
      <c r="H21" s="49">
        <v>0.71</v>
      </c>
      <c r="I21" s="61">
        <v>1.0</v>
      </c>
      <c r="J21" s="51">
        <v>0.51</v>
      </c>
      <c r="K21" s="52">
        <v>0.5248138957816377</v>
      </c>
      <c r="L21" s="68"/>
      <c r="M21" s="60">
        <v>0.0</v>
      </c>
      <c r="N21" s="54" t="str">
        <f t="shared" si="1"/>
        <v>Decresed</v>
      </c>
      <c r="O21" s="55" t="str">
        <f t="shared" si="3"/>
        <v>#DIV/0!</v>
      </c>
      <c r="P21" s="54"/>
    </row>
    <row r="22">
      <c r="A22" s="56" t="s">
        <v>58</v>
      </c>
      <c r="B22" s="57">
        <v>154064.0</v>
      </c>
      <c r="C22" s="58">
        <v>125582.0</v>
      </c>
      <c r="D22" s="57">
        <v>84.0</v>
      </c>
      <c r="E22" s="59">
        <v>0.8282237900336036</v>
      </c>
      <c r="F22" s="57" t="s">
        <v>59</v>
      </c>
      <c r="G22" s="60">
        <v>601208.0</v>
      </c>
      <c r="H22" s="49">
        <v>0.69</v>
      </c>
      <c r="I22" s="61">
        <v>0.6466647150403854</v>
      </c>
      <c r="J22" s="51">
        <v>0.44</v>
      </c>
      <c r="K22" s="52">
        <v>0.4710965256616678</v>
      </c>
      <c r="L22" s="53">
        <v>21077.0</v>
      </c>
      <c r="M22" s="60">
        <v>16630.0</v>
      </c>
      <c r="N22" s="54" t="str">
        <f t="shared" si="1"/>
        <v>Decresed</v>
      </c>
      <c r="O22" s="55">
        <f t="shared" si="3"/>
        <v>-0.2109882811</v>
      </c>
      <c r="P22" s="54"/>
    </row>
    <row r="23">
      <c r="A23" s="56" t="s">
        <v>60</v>
      </c>
      <c r="B23" s="57">
        <v>109942.0</v>
      </c>
      <c r="C23" s="58">
        <v>109605.0</v>
      </c>
      <c r="D23" s="57">
        <v>77.0</v>
      </c>
      <c r="E23" s="59">
        <v>0.7472560558368687</v>
      </c>
      <c r="F23" s="57" t="s">
        <v>61</v>
      </c>
      <c r="G23" s="60">
        <v>748589.0</v>
      </c>
      <c r="H23" s="49">
        <v>0.59</v>
      </c>
      <c r="I23" s="61">
        <v>0.5652634489686597</v>
      </c>
      <c r="J23" s="51">
        <v>0.47</v>
      </c>
      <c r="K23" s="52">
        <v>0.4841014228101134</v>
      </c>
      <c r="L23" s="53">
        <v>3499.0</v>
      </c>
      <c r="M23" s="60">
        <v>5906.0</v>
      </c>
      <c r="N23" s="54" t="str">
        <f t="shared" si="1"/>
        <v>Increased</v>
      </c>
      <c r="O23" s="55">
        <f t="shared" si="3"/>
        <v>0.6879108317</v>
      </c>
      <c r="P23" s="54"/>
    </row>
    <row r="24">
      <c r="A24" s="56" t="s">
        <v>62</v>
      </c>
      <c r="B24" s="57">
        <v>4844.0</v>
      </c>
      <c r="C24" s="58">
        <v>4617.0</v>
      </c>
      <c r="D24" s="57">
        <v>85.0</v>
      </c>
      <c r="E24" s="59">
        <v>0.8639809400043318</v>
      </c>
      <c r="F24" s="57">
        <v>45400.0</v>
      </c>
      <c r="G24" s="60">
        <v>42684.0</v>
      </c>
      <c r="H24" s="49">
        <v>0.77</v>
      </c>
      <c r="I24" s="61">
        <v>0.7700309249367444</v>
      </c>
      <c r="J24" s="51">
        <v>0.54</v>
      </c>
      <c r="K24" s="52">
        <v>0.543060631618405</v>
      </c>
      <c r="L24" s="53">
        <v>291.0</v>
      </c>
      <c r="M24" s="60">
        <v>148.0</v>
      </c>
      <c r="N24" s="54" t="str">
        <f t="shared" si="1"/>
        <v>Decresed</v>
      </c>
      <c r="O24" s="55">
        <f t="shared" si="3"/>
        <v>-0.4914089347</v>
      </c>
      <c r="P24" s="54"/>
    </row>
    <row r="25">
      <c r="A25" s="56" t="s">
        <v>63</v>
      </c>
      <c r="B25" s="57">
        <v>14669.0</v>
      </c>
      <c r="C25" s="58">
        <v>14600.0</v>
      </c>
      <c r="D25" s="57">
        <v>93.0</v>
      </c>
      <c r="E25" s="59">
        <v>0.9277397260273973</v>
      </c>
      <c r="F25" s="57">
        <v>55630.0</v>
      </c>
      <c r="G25" s="60">
        <v>55160.0</v>
      </c>
      <c r="H25" s="49">
        <v>0.86</v>
      </c>
      <c r="I25" s="61">
        <v>0.8552393038433648</v>
      </c>
      <c r="J25" s="51">
        <v>0.57</v>
      </c>
      <c r="K25" s="52">
        <v>0.5842458303118202</v>
      </c>
      <c r="L25" s="53">
        <v>995.0</v>
      </c>
      <c r="M25" s="60">
        <v>1320.0</v>
      </c>
      <c r="N25" s="54" t="str">
        <f t="shared" si="1"/>
        <v>Increased</v>
      </c>
      <c r="O25" s="55">
        <f t="shared" si="3"/>
        <v>0.3266331658</v>
      </c>
      <c r="P25" s="54"/>
    </row>
    <row r="26">
      <c r="A26" s="56" t="s">
        <v>64</v>
      </c>
      <c r="B26" s="57">
        <v>3913.0</v>
      </c>
      <c r="C26" s="58">
        <v>3911.0</v>
      </c>
      <c r="D26" s="57">
        <v>67.0</v>
      </c>
      <c r="E26" s="59">
        <v>0.6765533111736128</v>
      </c>
      <c r="F26" s="57">
        <v>23403.0</v>
      </c>
      <c r="G26" s="60">
        <v>23366.0</v>
      </c>
      <c r="H26" s="49">
        <v>0.55</v>
      </c>
      <c r="I26" s="61">
        <v>0.5716853547890097</v>
      </c>
      <c r="J26" s="51">
        <v>0.44</v>
      </c>
      <c r="K26" s="52">
        <v>0.47119746640417703</v>
      </c>
      <c r="L26" s="53">
        <v>100.0</v>
      </c>
      <c r="M26" s="60">
        <v>61.0</v>
      </c>
      <c r="N26" s="54" t="str">
        <f t="shared" si="1"/>
        <v>Decresed</v>
      </c>
      <c r="O26" s="55">
        <f t="shared" si="3"/>
        <v>-0.39</v>
      </c>
      <c r="P26" s="54"/>
    </row>
    <row r="27">
      <c r="A27" s="56" t="s">
        <v>65</v>
      </c>
      <c r="B27" s="57">
        <v>2752.0</v>
      </c>
      <c r="C27" s="58">
        <v>2718.0</v>
      </c>
      <c r="D27" s="57">
        <v>82.0</v>
      </c>
      <c r="E27" s="59">
        <v>0.8027961736571008</v>
      </c>
      <c r="F27" s="57">
        <v>23403.0</v>
      </c>
      <c r="G27" s="60">
        <v>31402.0</v>
      </c>
      <c r="H27" s="49">
        <v>0.7</v>
      </c>
      <c r="I27" s="61">
        <v>0.6628240239475193</v>
      </c>
      <c r="J27" s="51">
        <v>0.53</v>
      </c>
      <c r="K27" s="52">
        <v>0.5556333991465512</v>
      </c>
      <c r="L27" s="53">
        <v>25.0</v>
      </c>
      <c r="M27" s="60">
        <v>29.0</v>
      </c>
      <c r="N27" s="54" t="str">
        <f t="shared" si="1"/>
        <v>Increased</v>
      </c>
      <c r="O27" s="55">
        <f t="shared" si="3"/>
        <v>0.16</v>
      </c>
      <c r="P27" s="54"/>
    </row>
    <row r="28">
      <c r="A28" s="56" t="s">
        <v>66</v>
      </c>
      <c r="B28" s="57">
        <v>68717.0</v>
      </c>
      <c r="C28" s="58">
        <v>62291.0</v>
      </c>
      <c r="D28" s="57">
        <v>91.0</v>
      </c>
      <c r="E28" s="59">
        <v>0.9180459456422276</v>
      </c>
      <c r="F28" s="57" t="s">
        <v>67</v>
      </c>
      <c r="G28" s="60">
        <v>331336.0</v>
      </c>
      <c r="H28" s="49">
        <v>0.84</v>
      </c>
      <c r="I28" s="61">
        <v>0.8371984933722867</v>
      </c>
      <c r="J28" s="51">
        <v>0.45</v>
      </c>
      <c r="K28" s="52">
        <v>0.46446507472776877</v>
      </c>
      <c r="L28" s="53">
        <v>3197.0</v>
      </c>
      <c r="M28" s="60">
        <v>3169.0</v>
      </c>
      <c r="N28" s="54" t="str">
        <f t="shared" si="1"/>
        <v>Decresed</v>
      </c>
      <c r="O28" s="55">
        <f t="shared" si="3"/>
        <v>-0.008758210823</v>
      </c>
      <c r="P28" s="54"/>
    </row>
    <row r="29">
      <c r="A29" s="56" t="s">
        <v>68</v>
      </c>
      <c r="B29" s="57">
        <v>739.0</v>
      </c>
      <c r="C29" s="58">
        <v>736.0</v>
      </c>
      <c r="D29" s="57">
        <v>53.0</v>
      </c>
      <c r="E29" s="59">
        <v>0.5353260869565217</v>
      </c>
      <c r="F29" s="57">
        <v>12858.0</v>
      </c>
      <c r="G29" s="60">
        <v>12355.0</v>
      </c>
      <c r="H29" s="49">
        <v>0.46</v>
      </c>
      <c r="I29" s="61">
        <v>0.46426547956292996</v>
      </c>
      <c r="J29" s="51">
        <v>0.73</v>
      </c>
      <c r="K29" s="52">
        <v>0.7506272764063132</v>
      </c>
      <c r="L29" s="53">
        <v>3.0</v>
      </c>
      <c r="M29" s="60">
        <v>0.0</v>
      </c>
      <c r="N29" s="54" t="str">
        <f t="shared" si="1"/>
        <v>Decresed</v>
      </c>
      <c r="O29" s="55">
        <f t="shared" si="3"/>
        <v>-1</v>
      </c>
      <c r="P29" s="54"/>
      <c r="Q29" s="20">
        <f>(M30-L30)</f>
        <v>2157</v>
      </c>
    </row>
    <row r="30">
      <c r="A30" s="56" t="s">
        <v>69</v>
      </c>
      <c r="B30" s="57">
        <v>28637.0</v>
      </c>
      <c r="C30" s="58">
        <v>27701.0</v>
      </c>
      <c r="D30" s="57">
        <v>78.0</v>
      </c>
      <c r="E30" s="59">
        <v>0.7824627269773654</v>
      </c>
      <c r="F30" s="57" t="s">
        <v>70</v>
      </c>
      <c r="G30" s="60">
        <v>257134.0</v>
      </c>
      <c r="H30" s="49">
        <v>0.62</v>
      </c>
      <c r="I30" s="61">
        <v>0.6323201132483453</v>
      </c>
      <c r="J30" s="51">
        <v>0.75</v>
      </c>
      <c r="K30" s="52">
        <v>0.7522653558067</v>
      </c>
      <c r="L30" s="53">
        <v>366.0</v>
      </c>
      <c r="M30" s="60">
        <v>2523.0</v>
      </c>
      <c r="N30" s="54" t="str">
        <f t="shared" si="1"/>
        <v>Increased</v>
      </c>
      <c r="O30" s="55">
        <f t="shared" si="3"/>
        <v>5.893442623</v>
      </c>
      <c r="P30" s="54"/>
    </row>
    <row r="31">
      <c r="A31" s="56" t="s">
        <v>71</v>
      </c>
      <c r="B31" s="57">
        <v>105883.0</v>
      </c>
      <c r="C31" s="58">
        <v>106373.0</v>
      </c>
      <c r="D31" s="57">
        <v>83.0</v>
      </c>
      <c r="E31" s="59">
        <v>0.8306807178513345</v>
      </c>
      <c r="F31" s="57" t="s">
        <v>72</v>
      </c>
      <c r="G31" s="60">
        <v>724525.0</v>
      </c>
      <c r="H31" s="49">
        <v>0.74</v>
      </c>
      <c r="I31" s="61">
        <v>0.7474069217763363</v>
      </c>
      <c r="J31" s="51">
        <v>0.39</v>
      </c>
      <c r="K31" s="52">
        <v>0.3966046720265001</v>
      </c>
      <c r="L31" s="53">
        <v>10674.0</v>
      </c>
      <c r="M31" s="60">
        <v>10878.0</v>
      </c>
      <c r="N31" s="54" t="str">
        <f t="shared" si="1"/>
        <v>Increased</v>
      </c>
      <c r="O31" s="55">
        <f t="shared" si="3"/>
        <v>0.0191118606</v>
      </c>
      <c r="P31" s="54"/>
    </row>
    <row r="32">
      <c r="A32" s="56" t="s">
        <v>73</v>
      </c>
      <c r="B32" s="57">
        <v>1290.0</v>
      </c>
      <c r="C32" s="58">
        <v>1259.0</v>
      </c>
      <c r="D32" s="57">
        <v>90.0</v>
      </c>
      <c r="E32" s="59">
        <v>0.9070691024622717</v>
      </c>
      <c r="F32" s="57">
        <v>14277.0</v>
      </c>
      <c r="G32" s="60">
        <v>13613.0</v>
      </c>
      <c r="H32" s="49">
        <v>0.86</v>
      </c>
      <c r="I32" s="61">
        <v>0.8336883861015206</v>
      </c>
      <c r="J32" s="51">
        <v>0.58</v>
      </c>
      <c r="K32" s="52">
        <v>0.6001616102255197</v>
      </c>
      <c r="L32" s="53">
        <v>15.0</v>
      </c>
      <c r="M32" s="60">
        <v>43.0</v>
      </c>
      <c r="N32" s="54" t="str">
        <f t="shared" si="1"/>
        <v>Increased</v>
      </c>
      <c r="O32" s="55">
        <f t="shared" si="3"/>
        <v>1.866666667</v>
      </c>
      <c r="P32" s="54"/>
      <c r="Q32" s="20">
        <f>(M32-L32)</f>
        <v>28</v>
      </c>
    </row>
    <row r="33">
      <c r="A33" s="56" t="s">
        <v>74</v>
      </c>
      <c r="B33" s="57">
        <v>59152.0</v>
      </c>
      <c r="C33" s="58">
        <v>58801.0</v>
      </c>
      <c r="D33" s="57">
        <v>74.0</v>
      </c>
      <c r="E33" s="59">
        <v>0.734341252699784</v>
      </c>
      <c r="F33" s="57" t="s">
        <v>75</v>
      </c>
      <c r="G33" s="60">
        <v>569920.0</v>
      </c>
      <c r="H33" s="49">
        <v>0.58</v>
      </c>
      <c r="I33" s="61">
        <v>0.5541918163952836</v>
      </c>
      <c r="J33" s="51">
        <v>0.75</v>
      </c>
      <c r="K33" s="52">
        <v>0.7502860050533409</v>
      </c>
      <c r="L33" s="53">
        <v>2631.0</v>
      </c>
      <c r="M33" s="60">
        <v>2702.0</v>
      </c>
      <c r="N33" s="54" t="str">
        <f t="shared" si="1"/>
        <v>Increased</v>
      </c>
      <c r="O33" s="55">
        <f t="shared" si="3"/>
        <v>0.02698593691</v>
      </c>
      <c r="P33" s="54"/>
    </row>
    <row r="34">
      <c r="A34" s="56" t="s">
        <v>76</v>
      </c>
      <c r="B34" s="57">
        <v>42355.0</v>
      </c>
      <c r="C34" s="58">
        <v>43083.0</v>
      </c>
      <c r="D34" s="57">
        <v>73.0</v>
      </c>
      <c r="E34" s="59">
        <v>0.6626047396885082</v>
      </c>
      <c r="F34" s="57" t="s">
        <v>77</v>
      </c>
      <c r="G34" s="60">
        <v>320894.0</v>
      </c>
      <c r="H34" s="49">
        <v>0.62</v>
      </c>
      <c r="I34" s="61">
        <v>0.438238172106677</v>
      </c>
      <c r="J34" s="51">
        <v>0.56</v>
      </c>
      <c r="K34" s="52">
        <v>0.6058542696342094</v>
      </c>
      <c r="L34" s="53">
        <v>6678.0</v>
      </c>
      <c r="M34" s="60">
        <v>6392.0</v>
      </c>
      <c r="N34" s="54" t="str">
        <f t="shared" si="1"/>
        <v>Decresed</v>
      </c>
      <c r="O34" s="55">
        <f t="shared" si="3"/>
        <v>-0.04282719377</v>
      </c>
      <c r="P34" s="54"/>
    </row>
    <row r="35">
      <c r="A35" s="56" t="s">
        <v>78</v>
      </c>
      <c r="B35" s="57">
        <v>4945.0</v>
      </c>
      <c r="C35" s="58">
        <v>4929.0</v>
      </c>
      <c r="D35" s="57">
        <v>92.0</v>
      </c>
      <c r="E35" s="59">
        <v>0.9184418746195983</v>
      </c>
      <c r="F35" s="57">
        <v>46909.0</v>
      </c>
      <c r="G35" s="60">
        <v>36433.0</v>
      </c>
      <c r="H35" s="49">
        <v>0.82</v>
      </c>
      <c r="I35" s="61">
        <v>0.808854609831746</v>
      </c>
      <c r="J35" s="51">
        <v>0.32</v>
      </c>
      <c r="K35" s="52">
        <v>0.3495182938544726</v>
      </c>
      <c r="L35" s="53">
        <v>42.0</v>
      </c>
      <c r="M35" s="60">
        <v>204.0</v>
      </c>
      <c r="N35" s="54" t="str">
        <f t="shared" si="1"/>
        <v>Increased</v>
      </c>
      <c r="O35" s="55">
        <f t="shared" si="3"/>
        <v>3.857142857</v>
      </c>
      <c r="P35" s="54"/>
    </row>
    <row r="36">
      <c r="A36" s="56" t="s">
        <v>79</v>
      </c>
      <c r="B36" s="57">
        <v>273235.0</v>
      </c>
      <c r="C36" s="58">
        <v>258054.0</v>
      </c>
      <c r="D36" s="57">
        <v>87.0</v>
      </c>
      <c r="E36" s="59">
        <v>0.8568632921791564</v>
      </c>
      <c r="F36" s="57" t="s">
        <v>80</v>
      </c>
      <c r="G36" s="60">
        <v>1507828.0</v>
      </c>
      <c r="H36" s="49">
        <v>0.81</v>
      </c>
      <c r="I36" s="61">
        <v>0.8080072793448589</v>
      </c>
      <c r="J36" s="51">
        <v>0.44</v>
      </c>
      <c r="K36" s="52">
        <v>0.4567861851617028</v>
      </c>
      <c r="L36" s="53">
        <v>17683.0</v>
      </c>
      <c r="M36" s="60">
        <v>8040.0</v>
      </c>
      <c r="N36" s="54" t="str">
        <f t="shared" si="1"/>
        <v>Decresed</v>
      </c>
      <c r="O36" s="55">
        <f t="shared" si="3"/>
        <v>-0.5453260193</v>
      </c>
      <c r="P36" s="54"/>
    </row>
    <row r="37">
      <c r="A37" s="56" t="s">
        <v>81</v>
      </c>
      <c r="B37" s="57">
        <v>23559.0</v>
      </c>
      <c r="C37" s="58">
        <v>22815.0</v>
      </c>
      <c r="D37" s="57">
        <v>89.0</v>
      </c>
      <c r="E37" s="59">
        <v>0.8418145956607495</v>
      </c>
      <c r="F37" s="57" t="s">
        <v>82</v>
      </c>
      <c r="G37" s="60">
        <v>123212.0</v>
      </c>
      <c r="H37" s="49">
        <v>0.79</v>
      </c>
      <c r="I37" s="61">
        <v>0.6867431743661332</v>
      </c>
      <c r="J37" s="51">
        <v>0.54</v>
      </c>
      <c r="K37" s="52">
        <v>0.5499788981592701</v>
      </c>
      <c r="L37" s="53">
        <v>3216.0</v>
      </c>
      <c r="M37" s="60">
        <v>3455.0</v>
      </c>
      <c r="N37" s="54" t="str">
        <f t="shared" si="1"/>
        <v>Increased</v>
      </c>
      <c r="O37" s="55">
        <f t="shared" si="3"/>
        <v>0.0743159204</v>
      </c>
      <c r="P37" s="54"/>
    </row>
    <row r="38">
      <c r="A38" s="56" t="s">
        <v>83</v>
      </c>
      <c r="B38" s="57">
        <v>97828.0</v>
      </c>
      <c r="C38" s="58">
        <v>94744.0</v>
      </c>
      <c r="D38" s="57">
        <v>86.0</v>
      </c>
      <c r="E38" s="59">
        <v>0.8713058346702693</v>
      </c>
      <c r="F38" s="57" t="s">
        <v>84</v>
      </c>
      <c r="G38" s="60">
        <v>581687.0</v>
      </c>
      <c r="H38" s="49">
        <v>0.81</v>
      </c>
      <c r="I38" s="61">
        <v>0.7947779475903708</v>
      </c>
      <c r="J38" s="51">
        <v>0.44</v>
      </c>
      <c r="K38" s="52">
        <v>0.43623116899638464</v>
      </c>
      <c r="L38" s="53">
        <v>2644.0</v>
      </c>
      <c r="M38" s="60">
        <v>4762.0</v>
      </c>
      <c r="N38" s="54" t="str">
        <f t="shared" si="1"/>
        <v>Increased</v>
      </c>
      <c r="O38" s="55">
        <f t="shared" si="3"/>
        <v>0.8010590015</v>
      </c>
      <c r="P38" s="54"/>
    </row>
    <row r="39">
      <c r="A39" s="69" t="s">
        <v>85</v>
      </c>
      <c r="B39" s="70">
        <v>1551000.0</v>
      </c>
      <c r="C39" s="71">
        <v>1489115.0</v>
      </c>
      <c r="D39" s="70">
        <v>84.0</v>
      </c>
      <c r="E39" s="72">
        <v>0.8292092954540112</v>
      </c>
      <c r="F39" s="70">
        <v>9430839.0</v>
      </c>
      <c r="G39" s="71">
        <v>9507123.0</v>
      </c>
      <c r="H39" s="73">
        <v>0.72</v>
      </c>
      <c r="I39" s="74">
        <v>0.7009308704641772</v>
      </c>
      <c r="J39" s="75">
        <v>0.5</v>
      </c>
      <c r="K39" s="76">
        <v>0.5129556018156071</v>
      </c>
      <c r="L39" s="70">
        <v>110971.0</v>
      </c>
      <c r="M39" s="71">
        <v>117285.0</v>
      </c>
      <c r="N39" s="77" t="s">
        <v>86</v>
      </c>
      <c r="O39" s="78"/>
      <c r="P39" s="78"/>
    </row>
    <row r="40">
      <c r="A40" s="79"/>
    </row>
    <row r="41">
      <c r="A41" s="79"/>
      <c r="C41" s="80"/>
      <c r="D41" s="81">
        <v>2021.0</v>
      </c>
      <c r="E41" s="82">
        <v>2023.0</v>
      </c>
      <c r="K41" s="54"/>
      <c r="L41" s="54"/>
      <c r="M41" s="54"/>
      <c r="N41" s="54"/>
      <c r="O41" s="54"/>
      <c r="P41" s="54"/>
    </row>
    <row r="42">
      <c r="A42" s="79"/>
      <c r="C42" s="83" t="s">
        <v>87</v>
      </c>
      <c r="D42" s="84">
        <v>9430839.0</v>
      </c>
      <c r="E42" s="85">
        <v>9507123.0</v>
      </c>
      <c r="H42" s="86" t="s">
        <v>17</v>
      </c>
      <c r="I42" s="2"/>
      <c r="J42" s="3"/>
      <c r="K42" s="54"/>
      <c r="L42" s="54"/>
      <c r="M42" s="54"/>
      <c r="N42" s="54"/>
      <c r="O42" s="54"/>
      <c r="P42" s="55">
        <f>M39/C39</f>
        <v>0.07876154629</v>
      </c>
    </row>
    <row r="43">
      <c r="A43" s="79"/>
      <c r="C43" s="83" t="s">
        <v>88</v>
      </c>
      <c r="D43" s="87">
        <v>4714232.0</v>
      </c>
      <c r="E43" s="88">
        <v>4876732.0</v>
      </c>
      <c r="H43" s="89" t="s">
        <v>20</v>
      </c>
      <c r="I43" s="90" t="s">
        <v>89</v>
      </c>
      <c r="J43" s="91" t="s">
        <v>90</v>
      </c>
      <c r="K43" s="54"/>
      <c r="L43" s="54"/>
      <c r="M43" s="54"/>
      <c r="N43" s="54"/>
      <c r="O43" s="54"/>
      <c r="P43" s="54"/>
    </row>
    <row r="44">
      <c r="A44" s="79"/>
      <c r="C44" s="83" t="s">
        <v>91</v>
      </c>
      <c r="D44" s="92">
        <v>0.5</v>
      </c>
      <c r="E44" s="93">
        <v>0.5129556018156071</v>
      </c>
      <c r="H44" s="94">
        <v>110971.0</v>
      </c>
      <c r="I44" s="95">
        <v>117285.0</v>
      </c>
      <c r="J44" s="96" t="s">
        <v>86</v>
      </c>
      <c r="K44" s="54"/>
      <c r="L44" s="54"/>
      <c r="M44" s="54"/>
      <c r="N44" s="54"/>
      <c r="O44" s="54"/>
      <c r="P44" s="54"/>
    </row>
    <row r="45">
      <c r="A45" s="79"/>
      <c r="C45" s="83" t="s">
        <v>92</v>
      </c>
      <c r="D45" s="97">
        <v>2943741.0</v>
      </c>
      <c r="E45" s="98">
        <v>2963057.0</v>
      </c>
      <c r="K45" s="54"/>
      <c r="L45" s="54"/>
      <c r="M45" s="54"/>
      <c r="N45" s="54"/>
      <c r="O45" s="54"/>
      <c r="P45" s="54"/>
    </row>
    <row r="46">
      <c r="A46" s="79"/>
      <c r="C46" s="83" t="s">
        <v>93</v>
      </c>
      <c r="D46" s="99">
        <v>0.6244370238885146</v>
      </c>
      <c r="E46" s="100">
        <v>0.607590698033027</v>
      </c>
      <c r="K46" s="54"/>
      <c r="L46" s="54"/>
      <c r="M46" s="54"/>
      <c r="N46" s="54"/>
      <c r="O46" s="54"/>
      <c r="P46" s="54"/>
    </row>
    <row r="47">
      <c r="A47" s="79"/>
      <c r="C47" s="83" t="s">
        <v>94</v>
      </c>
      <c r="D47" s="101">
        <v>1770491.0</v>
      </c>
      <c r="E47" s="98">
        <v>1913675.0</v>
      </c>
      <c r="M47" s="21"/>
      <c r="O47" s="102"/>
      <c r="P47" s="102"/>
      <c r="Q47" s="102"/>
    </row>
    <row r="48">
      <c r="A48" s="79"/>
      <c r="C48" s="103" t="s">
        <v>95</v>
      </c>
      <c r="D48" s="104">
        <v>0.37556297611148537</v>
      </c>
      <c r="E48" s="105">
        <v>0.392409301966973</v>
      </c>
      <c r="M48" s="21"/>
      <c r="O48" s="106"/>
      <c r="P48" s="107"/>
      <c r="Q48" s="108"/>
    </row>
    <row r="49">
      <c r="A49" s="79"/>
      <c r="M49" s="21"/>
      <c r="O49" s="106"/>
      <c r="P49" s="107"/>
      <c r="Q49" s="108"/>
    </row>
    <row r="50">
      <c r="A50" s="79"/>
      <c r="M50" s="21"/>
      <c r="O50" s="106"/>
      <c r="P50" s="109"/>
      <c r="Q50" s="110"/>
    </row>
    <row r="51">
      <c r="A51" s="79"/>
      <c r="O51" s="111"/>
      <c r="P51" s="112"/>
      <c r="Q51" s="113"/>
    </row>
    <row r="52">
      <c r="A52" s="79"/>
      <c r="O52" s="111"/>
      <c r="P52" s="114"/>
      <c r="Q52" s="113"/>
    </row>
    <row r="53">
      <c r="A53" s="79"/>
      <c r="O53" s="111"/>
      <c r="P53" s="109"/>
      <c r="Q53" s="110"/>
    </row>
    <row r="54">
      <c r="A54" s="79"/>
      <c r="O54" s="111"/>
      <c r="P54" s="109"/>
      <c r="Q54" s="110"/>
    </row>
    <row r="55">
      <c r="A55" s="79"/>
    </row>
    <row r="56">
      <c r="A56" s="79"/>
    </row>
    <row r="57">
      <c r="A57" s="79"/>
    </row>
    <row r="58">
      <c r="A58" s="79"/>
    </row>
    <row r="59">
      <c r="A59" s="79"/>
    </row>
    <row r="60">
      <c r="A60" s="79"/>
    </row>
    <row r="61">
      <c r="A61" s="79"/>
    </row>
    <row r="62">
      <c r="A62" s="79"/>
    </row>
    <row r="63">
      <c r="A63" s="79"/>
    </row>
    <row r="64">
      <c r="A64" s="79"/>
    </row>
    <row r="65">
      <c r="A65" s="79"/>
    </row>
    <row r="66">
      <c r="A66" s="79"/>
    </row>
    <row r="67">
      <c r="A67" s="79"/>
    </row>
    <row r="68">
      <c r="A68" s="79"/>
    </row>
    <row r="69">
      <c r="A69" s="79"/>
    </row>
    <row r="70">
      <c r="A70" s="79"/>
    </row>
    <row r="71">
      <c r="A71" s="79"/>
    </row>
    <row r="72">
      <c r="A72" s="79"/>
    </row>
    <row r="73">
      <c r="A73" s="79"/>
    </row>
    <row r="74">
      <c r="A74" s="79"/>
    </row>
    <row r="75">
      <c r="A75" s="79"/>
    </row>
    <row r="76">
      <c r="A76" s="79"/>
    </row>
    <row r="77">
      <c r="A77" s="79"/>
    </row>
    <row r="78">
      <c r="A78" s="79"/>
    </row>
    <row r="79">
      <c r="A79" s="79"/>
    </row>
    <row r="80">
      <c r="A80" s="79"/>
    </row>
    <row r="81">
      <c r="A81" s="79"/>
    </row>
    <row r="82">
      <c r="A82" s="79"/>
    </row>
    <row r="83">
      <c r="A83" s="79"/>
    </row>
    <row r="84">
      <c r="A84" s="79"/>
    </row>
    <row r="85">
      <c r="A85" s="79"/>
    </row>
    <row r="86">
      <c r="A86" s="79"/>
    </row>
    <row r="87">
      <c r="A87" s="79"/>
    </row>
    <row r="88">
      <c r="A88" s="79"/>
    </row>
    <row r="89">
      <c r="A89" s="79"/>
    </row>
    <row r="90">
      <c r="A90" s="79"/>
    </row>
    <row r="91">
      <c r="A91" s="79"/>
    </row>
    <row r="92">
      <c r="A92" s="79"/>
    </row>
    <row r="93">
      <c r="A93" s="79"/>
    </row>
    <row r="94">
      <c r="A94" s="79"/>
    </row>
    <row r="95">
      <c r="A95" s="79"/>
    </row>
    <row r="96">
      <c r="A96" s="79"/>
    </row>
    <row r="97">
      <c r="A97" s="79"/>
    </row>
    <row r="98">
      <c r="A98" s="79"/>
    </row>
    <row r="99">
      <c r="A99" s="79"/>
    </row>
    <row r="100">
      <c r="A100" s="79"/>
    </row>
    <row r="101">
      <c r="A101" s="79"/>
    </row>
    <row r="102">
      <c r="A102" s="79"/>
    </row>
    <row r="103">
      <c r="A103" s="79"/>
    </row>
    <row r="104">
      <c r="A104" s="79"/>
    </row>
    <row r="105">
      <c r="A105" s="79"/>
    </row>
    <row r="106">
      <c r="A106" s="79"/>
    </row>
    <row r="107">
      <c r="A107" s="79"/>
    </row>
    <row r="108">
      <c r="A108" s="79"/>
    </row>
    <row r="109">
      <c r="A109" s="79"/>
    </row>
    <row r="110">
      <c r="A110" s="79"/>
    </row>
    <row r="111">
      <c r="A111" s="79"/>
    </row>
    <row r="112">
      <c r="A112" s="79"/>
    </row>
    <row r="113">
      <c r="A113" s="79"/>
    </row>
    <row r="114">
      <c r="A114" s="79"/>
    </row>
    <row r="115">
      <c r="A115" s="79"/>
    </row>
    <row r="116">
      <c r="A116" s="79"/>
    </row>
    <row r="117">
      <c r="A117" s="79"/>
    </row>
    <row r="118">
      <c r="A118" s="79"/>
    </row>
    <row r="119">
      <c r="A119" s="79"/>
    </row>
    <row r="120">
      <c r="A120" s="79"/>
    </row>
    <row r="121">
      <c r="A121" s="79"/>
    </row>
    <row r="122">
      <c r="A122" s="79"/>
    </row>
    <row r="123">
      <c r="A123" s="79"/>
    </row>
    <row r="124">
      <c r="A124" s="79"/>
    </row>
    <row r="125">
      <c r="A125" s="79"/>
    </row>
    <row r="126">
      <c r="A126" s="79"/>
    </row>
    <row r="127">
      <c r="A127" s="79"/>
    </row>
    <row r="128">
      <c r="A128" s="79"/>
    </row>
    <row r="129">
      <c r="A129" s="79"/>
    </row>
    <row r="130">
      <c r="A130" s="79"/>
    </row>
    <row r="131">
      <c r="A131" s="79"/>
    </row>
    <row r="132">
      <c r="A132" s="79"/>
    </row>
    <row r="133">
      <c r="A133" s="79"/>
    </row>
    <row r="134">
      <c r="A134" s="79"/>
    </row>
    <row r="135">
      <c r="A135" s="79"/>
    </row>
    <row r="136">
      <c r="A136" s="79"/>
    </row>
    <row r="137">
      <c r="A137" s="79"/>
    </row>
    <row r="138">
      <c r="A138" s="79"/>
    </row>
    <row r="139">
      <c r="A139" s="79"/>
    </row>
    <row r="140">
      <c r="A140" s="79"/>
    </row>
    <row r="141">
      <c r="A141" s="79"/>
    </row>
    <row r="142">
      <c r="A142" s="79"/>
    </row>
    <row r="143">
      <c r="A143" s="79"/>
    </row>
    <row r="144">
      <c r="A144" s="79"/>
    </row>
    <row r="145">
      <c r="A145" s="79"/>
    </row>
    <row r="146">
      <c r="A146" s="79"/>
    </row>
    <row r="147">
      <c r="A147" s="79"/>
    </row>
    <row r="148">
      <c r="A148" s="79"/>
    </row>
    <row r="149">
      <c r="A149" s="79"/>
    </row>
    <row r="150">
      <c r="A150" s="79"/>
    </row>
    <row r="151">
      <c r="A151" s="79"/>
    </row>
    <row r="152">
      <c r="A152" s="79"/>
    </row>
    <row r="153">
      <c r="A153" s="79"/>
    </row>
    <row r="154">
      <c r="A154" s="79"/>
    </row>
    <row r="155">
      <c r="A155" s="79"/>
    </row>
    <row r="156">
      <c r="A156" s="79"/>
    </row>
    <row r="157">
      <c r="A157" s="79"/>
    </row>
    <row r="158">
      <c r="A158" s="79"/>
    </row>
    <row r="159">
      <c r="A159" s="79"/>
    </row>
    <row r="160">
      <c r="A160" s="79"/>
    </row>
    <row r="161">
      <c r="A161" s="79"/>
    </row>
    <row r="162">
      <c r="A162" s="79"/>
    </row>
    <row r="163">
      <c r="A163" s="79"/>
    </row>
    <row r="164">
      <c r="A164" s="79"/>
    </row>
    <row r="165">
      <c r="A165" s="79"/>
    </row>
    <row r="166">
      <c r="A166" s="79"/>
    </row>
    <row r="167">
      <c r="A167" s="79"/>
    </row>
    <row r="168">
      <c r="A168" s="79"/>
    </row>
    <row r="169">
      <c r="A169" s="79"/>
    </row>
    <row r="170">
      <c r="A170" s="79"/>
    </row>
    <row r="171">
      <c r="A171" s="79"/>
    </row>
    <row r="172">
      <c r="A172" s="79"/>
    </row>
    <row r="173">
      <c r="A173" s="79"/>
    </row>
    <row r="174">
      <c r="A174" s="79"/>
    </row>
    <row r="175">
      <c r="A175" s="79"/>
    </row>
    <row r="176">
      <c r="A176" s="79"/>
    </row>
    <row r="177">
      <c r="A177" s="79"/>
    </row>
    <row r="178">
      <c r="A178" s="79"/>
    </row>
    <row r="179">
      <c r="A179" s="79"/>
    </row>
    <row r="180">
      <c r="A180" s="79"/>
    </row>
    <row r="181">
      <c r="A181" s="79"/>
    </row>
    <row r="182">
      <c r="A182" s="79"/>
    </row>
    <row r="183">
      <c r="A183" s="79"/>
    </row>
    <row r="184">
      <c r="A184" s="79"/>
    </row>
    <row r="185">
      <c r="A185" s="79"/>
    </row>
    <row r="186">
      <c r="A186" s="79"/>
    </row>
    <row r="187">
      <c r="A187" s="79"/>
    </row>
    <row r="188">
      <c r="A188" s="79"/>
    </row>
    <row r="189">
      <c r="A189" s="79"/>
    </row>
    <row r="190">
      <c r="A190" s="79"/>
    </row>
    <row r="191">
      <c r="A191" s="79"/>
    </row>
    <row r="192">
      <c r="A192" s="79"/>
    </row>
    <row r="193">
      <c r="A193" s="79"/>
    </row>
    <row r="194">
      <c r="A194" s="79"/>
    </row>
    <row r="195">
      <c r="A195" s="79"/>
    </row>
    <row r="196">
      <c r="A196" s="79"/>
    </row>
    <row r="197">
      <c r="A197" s="79"/>
    </row>
    <row r="198">
      <c r="A198" s="79"/>
    </row>
    <row r="199">
      <c r="A199" s="79"/>
    </row>
    <row r="200">
      <c r="A200" s="79"/>
    </row>
    <row r="201">
      <c r="A201" s="79"/>
    </row>
    <row r="202">
      <c r="A202" s="79"/>
    </row>
    <row r="203">
      <c r="A203" s="79"/>
    </row>
    <row r="204">
      <c r="A204" s="79"/>
    </row>
    <row r="205">
      <c r="A205" s="79"/>
    </row>
    <row r="206">
      <c r="A206" s="79"/>
    </row>
    <row r="207">
      <c r="A207" s="79"/>
    </row>
    <row r="208">
      <c r="A208" s="79"/>
    </row>
    <row r="209">
      <c r="A209" s="79"/>
    </row>
    <row r="210">
      <c r="A210" s="79"/>
    </row>
    <row r="211">
      <c r="A211" s="79"/>
    </row>
    <row r="212">
      <c r="A212" s="79"/>
    </row>
    <row r="213">
      <c r="A213" s="79"/>
    </row>
    <row r="214">
      <c r="A214" s="79"/>
    </row>
    <row r="215">
      <c r="A215" s="79"/>
    </row>
    <row r="216">
      <c r="A216" s="79"/>
    </row>
    <row r="217">
      <c r="A217" s="79"/>
    </row>
    <row r="218">
      <c r="A218" s="79"/>
    </row>
    <row r="219">
      <c r="A219" s="79"/>
    </row>
    <row r="220">
      <c r="A220" s="79"/>
    </row>
    <row r="221">
      <c r="A221" s="79"/>
    </row>
    <row r="222">
      <c r="A222" s="79"/>
    </row>
    <row r="223">
      <c r="A223" s="79"/>
    </row>
    <row r="224">
      <c r="A224" s="79"/>
    </row>
    <row r="225">
      <c r="A225" s="79"/>
    </row>
    <row r="226">
      <c r="A226" s="79"/>
    </row>
    <row r="227">
      <c r="A227" s="79"/>
    </row>
    <row r="228">
      <c r="A228" s="79"/>
    </row>
    <row r="229">
      <c r="A229" s="79"/>
    </row>
    <row r="230">
      <c r="A230" s="79"/>
    </row>
    <row r="231">
      <c r="A231" s="79"/>
    </row>
    <row r="232">
      <c r="A232" s="79"/>
    </row>
    <row r="233">
      <c r="A233" s="79"/>
    </row>
    <row r="234">
      <c r="A234" s="79"/>
    </row>
    <row r="235">
      <c r="A235" s="79"/>
    </row>
    <row r="236">
      <c r="A236" s="79"/>
    </row>
    <row r="237">
      <c r="A237" s="79"/>
    </row>
    <row r="238">
      <c r="A238" s="79"/>
    </row>
    <row r="239">
      <c r="A239" s="79"/>
    </row>
    <row r="240">
      <c r="A240" s="79"/>
    </row>
    <row r="241">
      <c r="A241" s="79"/>
    </row>
    <row r="242">
      <c r="A242" s="79"/>
    </row>
    <row r="243">
      <c r="A243" s="79"/>
    </row>
    <row r="244">
      <c r="A244" s="79"/>
    </row>
    <row r="245">
      <c r="A245" s="79"/>
    </row>
    <row r="246">
      <c r="A246" s="79"/>
    </row>
    <row r="247">
      <c r="A247" s="79"/>
    </row>
    <row r="248">
      <c r="A248" s="79"/>
    </row>
    <row r="249">
      <c r="A249" s="79"/>
    </row>
    <row r="250">
      <c r="A250" s="79"/>
    </row>
    <row r="251">
      <c r="A251" s="79"/>
    </row>
    <row r="252">
      <c r="A252" s="79"/>
    </row>
    <row r="253">
      <c r="A253" s="79"/>
    </row>
    <row r="254">
      <c r="A254" s="79"/>
    </row>
    <row r="255">
      <c r="A255" s="79"/>
    </row>
    <row r="256">
      <c r="A256" s="79"/>
    </row>
    <row r="257">
      <c r="A257" s="79"/>
    </row>
    <row r="258">
      <c r="A258" s="79"/>
    </row>
    <row r="259">
      <c r="A259" s="79"/>
    </row>
    <row r="260">
      <c r="A260" s="79"/>
    </row>
    <row r="261">
      <c r="A261" s="79"/>
    </row>
    <row r="262">
      <c r="A262" s="79"/>
    </row>
    <row r="263">
      <c r="A263" s="79"/>
    </row>
    <row r="264">
      <c r="A264" s="79"/>
    </row>
    <row r="265">
      <c r="A265" s="79"/>
    </row>
    <row r="266">
      <c r="A266" s="79"/>
    </row>
    <row r="267">
      <c r="A267" s="79"/>
    </row>
    <row r="268">
      <c r="A268" s="79"/>
    </row>
    <row r="269">
      <c r="A269" s="79"/>
    </row>
    <row r="270">
      <c r="A270" s="79"/>
    </row>
    <row r="271">
      <c r="A271" s="79"/>
    </row>
    <row r="272">
      <c r="A272" s="79"/>
    </row>
    <row r="273">
      <c r="A273" s="79"/>
    </row>
    <row r="274">
      <c r="A274" s="79"/>
    </row>
    <row r="275">
      <c r="A275" s="79"/>
    </row>
    <row r="276">
      <c r="A276" s="79"/>
    </row>
    <row r="277">
      <c r="A277" s="79"/>
    </row>
    <row r="278">
      <c r="A278" s="79"/>
    </row>
    <row r="279">
      <c r="A279" s="79"/>
    </row>
    <row r="280">
      <c r="A280" s="79"/>
    </row>
    <row r="281">
      <c r="A281" s="79"/>
    </row>
    <row r="282">
      <c r="A282" s="79"/>
    </row>
    <row r="283">
      <c r="A283" s="79"/>
    </row>
    <row r="284">
      <c r="A284" s="79"/>
    </row>
    <row r="285">
      <c r="A285" s="79"/>
    </row>
    <row r="286">
      <c r="A286" s="79"/>
    </row>
    <row r="287">
      <c r="A287" s="79"/>
    </row>
    <row r="288">
      <c r="A288" s="79"/>
    </row>
    <row r="289">
      <c r="A289" s="79"/>
    </row>
    <row r="290">
      <c r="A290" s="79"/>
    </row>
    <row r="291">
      <c r="A291" s="79"/>
    </row>
    <row r="292">
      <c r="A292" s="79"/>
    </row>
    <row r="293">
      <c r="A293" s="79"/>
    </row>
    <row r="294">
      <c r="A294" s="79"/>
    </row>
    <row r="295">
      <c r="A295" s="79"/>
    </row>
    <row r="296">
      <c r="A296" s="79"/>
    </row>
    <row r="297">
      <c r="A297" s="79"/>
    </row>
    <row r="298">
      <c r="A298" s="79"/>
    </row>
    <row r="299">
      <c r="A299" s="79"/>
    </row>
    <row r="300">
      <c r="A300" s="79"/>
    </row>
    <row r="301">
      <c r="A301" s="79"/>
    </row>
    <row r="302">
      <c r="A302" s="79"/>
    </row>
    <row r="303">
      <c r="A303" s="79"/>
    </row>
    <row r="304">
      <c r="A304" s="79"/>
    </row>
    <row r="305">
      <c r="A305" s="79"/>
    </row>
    <row r="306">
      <c r="A306" s="79"/>
    </row>
    <row r="307">
      <c r="A307" s="79"/>
    </row>
    <row r="308">
      <c r="A308" s="79"/>
    </row>
    <row r="309">
      <c r="A309" s="79"/>
    </row>
    <row r="310">
      <c r="A310" s="79"/>
    </row>
    <row r="311">
      <c r="A311" s="79"/>
    </row>
    <row r="312">
      <c r="A312" s="79"/>
    </row>
    <row r="313">
      <c r="A313" s="79"/>
    </row>
    <row r="314">
      <c r="A314" s="79"/>
    </row>
    <row r="315">
      <c r="A315" s="79"/>
    </row>
    <row r="316">
      <c r="A316" s="79"/>
    </row>
    <row r="317">
      <c r="A317" s="79"/>
    </row>
    <row r="318">
      <c r="A318" s="79"/>
    </row>
    <row r="319">
      <c r="A319" s="79"/>
    </row>
    <row r="320">
      <c r="A320" s="79"/>
    </row>
    <row r="321">
      <c r="A321" s="79"/>
    </row>
    <row r="322">
      <c r="A322" s="79"/>
    </row>
    <row r="323">
      <c r="A323" s="79"/>
    </row>
    <row r="324">
      <c r="A324" s="79"/>
    </row>
    <row r="325">
      <c r="A325" s="79"/>
    </row>
    <row r="326">
      <c r="A326" s="79"/>
    </row>
    <row r="327">
      <c r="A327" s="79"/>
    </row>
    <row r="328">
      <c r="A328" s="79"/>
    </row>
    <row r="329">
      <c r="A329" s="79"/>
    </row>
    <row r="330">
      <c r="A330" s="79"/>
    </row>
    <row r="331">
      <c r="A331" s="79"/>
    </row>
    <row r="332">
      <c r="A332" s="79"/>
    </row>
    <row r="333">
      <c r="A333" s="79"/>
    </row>
    <row r="334">
      <c r="A334" s="79"/>
    </row>
    <row r="335">
      <c r="A335" s="79"/>
    </row>
    <row r="336">
      <c r="A336" s="79"/>
    </row>
    <row r="337">
      <c r="A337" s="79"/>
    </row>
    <row r="338">
      <c r="A338" s="79"/>
    </row>
    <row r="339">
      <c r="A339" s="79"/>
    </row>
    <row r="340">
      <c r="A340" s="79"/>
    </row>
    <row r="341">
      <c r="A341" s="79"/>
    </row>
    <row r="342">
      <c r="A342" s="79"/>
    </row>
    <row r="343">
      <c r="A343" s="79"/>
    </row>
    <row r="344">
      <c r="A344" s="79"/>
    </row>
    <row r="345">
      <c r="A345" s="79"/>
    </row>
    <row r="346">
      <c r="A346" s="79"/>
    </row>
    <row r="347">
      <c r="A347" s="79"/>
    </row>
    <row r="348">
      <c r="A348" s="79"/>
    </row>
    <row r="349">
      <c r="A349" s="79"/>
    </row>
    <row r="350">
      <c r="A350" s="79"/>
    </row>
    <row r="351">
      <c r="A351" s="79"/>
    </row>
    <row r="352">
      <c r="A352" s="79"/>
    </row>
    <row r="353">
      <c r="A353" s="79"/>
    </row>
    <row r="354">
      <c r="A354" s="79"/>
    </row>
    <row r="355">
      <c r="A355" s="79"/>
    </row>
    <row r="356">
      <c r="A356" s="79"/>
    </row>
    <row r="357">
      <c r="A357" s="79"/>
    </row>
    <row r="358">
      <c r="A358" s="79"/>
    </row>
    <row r="359">
      <c r="A359" s="79"/>
    </row>
    <row r="360">
      <c r="A360" s="79"/>
    </row>
    <row r="361">
      <c r="A361" s="79"/>
    </row>
    <row r="362">
      <c r="A362" s="79"/>
    </row>
    <row r="363">
      <c r="A363" s="79"/>
    </row>
    <row r="364">
      <c r="A364" s="79"/>
    </row>
    <row r="365">
      <c r="A365" s="79"/>
    </row>
    <row r="366">
      <c r="A366" s="79"/>
    </row>
    <row r="367">
      <c r="A367" s="79"/>
    </row>
    <row r="368">
      <c r="A368" s="79"/>
    </row>
    <row r="369">
      <c r="A369" s="79"/>
    </row>
    <row r="370">
      <c r="A370" s="79"/>
    </row>
    <row r="371">
      <c r="A371" s="79"/>
    </row>
    <row r="372">
      <c r="A372" s="79"/>
    </row>
    <row r="373">
      <c r="A373" s="79"/>
    </row>
    <row r="374">
      <c r="A374" s="79"/>
    </row>
    <row r="375">
      <c r="A375" s="79"/>
    </row>
    <row r="376">
      <c r="A376" s="79"/>
    </row>
    <row r="377">
      <c r="A377" s="79"/>
    </row>
    <row r="378">
      <c r="A378" s="79"/>
    </row>
    <row r="379">
      <c r="A379" s="79"/>
    </row>
    <row r="380">
      <c r="A380" s="79"/>
    </row>
    <row r="381">
      <c r="A381" s="79"/>
    </row>
    <row r="382">
      <c r="A382" s="79"/>
    </row>
    <row r="383">
      <c r="A383" s="79"/>
    </row>
    <row r="384">
      <c r="A384" s="79"/>
    </row>
    <row r="385">
      <c r="A385" s="79"/>
    </row>
    <row r="386">
      <c r="A386" s="79"/>
    </row>
    <row r="387">
      <c r="A387" s="79"/>
    </row>
    <row r="388">
      <c r="A388" s="79"/>
    </row>
    <row r="389">
      <c r="A389" s="79"/>
    </row>
    <row r="390">
      <c r="A390" s="79"/>
    </row>
    <row r="391">
      <c r="A391" s="79"/>
    </row>
    <row r="392">
      <c r="A392" s="79"/>
    </row>
    <row r="393">
      <c r="A393" s="79"/>
    </row>
    <row r="394">
      <c r="A394" s="79"/>
    </row>
    <row r="395">
      <c r="A395" s="79"/>
    </row>
    <row r="396">
      <c r="A396" s="79"/>
    </row>
    <row r="397">
      <c r="A397" s="79"/>
    </row>
    <row r="398">
      <c r="A398" s="79"/>
    </row>
    <row r="399">
      <c r="A399" s="79"/>
    </row>
    <row r="400">
      <c r="A400" s="79"/>
    </row>
    <row r="401">
      <c r="A401" s="79"/>
    </row>
    <row r="402">
      <c r="A402" s="79"/>
    </row>
    <row r="403">
      <c r="A403" s="79"/>
    </row>
    <row r="404">
      <c r="A404" s="79"/>
    </row>
    <row r="405">
      <c r="A405" s="79"/>
    </row>
    <row r="406">
      <c r="A406" s="79"/>
    </row>
    <row r="407">
      <c r="A407" s="79"/>
    </row>
    <row r="408">
      <c r="A408" s="79"/>
    </row>
    <row r="409">
      <c r="A409" s="79"/>
    </row>
    <row r="410">
      <c r="A410" s="79"/>
    </row>
    <row r="411">
      <c r="A411" s="79"/>
    </row>
    <row r="412">
      <c r="A412" s="79"/>
    </row>
    <row r="413">
      <c r="A413" s="79"/>
    </row>
    <row r="414">
      <c r="A414" s="79"/>
    </row>
    <row r="415">
      <c r="A415" s="79"/>
    </row>
    <row r="416">
      <c r="A416" s="79"/>
    </row>
    <row r="417">
      <c r="A417" s="79"/>
    </row>
    <row r="418">
      <c r="A418" s="79"/>
    </row>
    <row r="419">
      <c r="A419" s="79"/>
    </row>
    <row r="420">
      <c r="A420" s="79"/>
    </row>
    <row r="421">
      <c r="A421" s="79"/>
    </row>
    <row r="422">
      <c r="A422" s="79"/>
    </row>
    <row r="423">
      <c r="A423" s="79"/>
    </row>
    <row r="424">
      <c r="A424" s="79"/>
    </row>
    <row r="425">
      <c r="A425" s="79"/>
    </row>
    <row r="426">
      <c r="A426" s="79"/>
    </row>
    <row r="427">
      <c r="A427" s="79"/>
    </row>
    <row r="428">
      <c r="A428" s="79"/>
    </row>
    <row r="429">
      <c r="A429" s="79"/>
    </row>
    <row r="430">
      <c r="A430" s="79"/>
    </row>
    <row r="431">
      <c r="A431" s="79"/>
    </row>
    <row r="432">
      <c r="A432" s="79"/>
    </row>
    <row r="433">
      <c r="A433" s="79"/>
    </row>
    <row r="434">
      <c r="A434" s="79"/>
    </row>
    <row r="435">
      <c r="A435" s="79"/>
    </row>
    <row r="436">
      <c r="A436" s="79"/>
    </row>
    <row r="437">
      <c r="A437" s="79"/>
    </row>
    <row r="438">
      <c r="A438" s="79"/>
    </row>
    <row r="439">
      <c r="A439" s="79"/>
    </row>
    <row r="440">
      <c r="A440" s="79"/>
    </row>
    <row r="441">
      <c r="A441" s="79"/>
    </row>
    <row r="442">
      <c r="A442" s="79"/>
    </row>
    <row r="443">
      <c r="A443" s="79"/>
    </row>
    <row r="444">
      <c r="A444" s="79"/>
    </row>
    <row r="445">
      <c r="A445" s="79"/>
    </row>
    <row r="446">
      <c r="A446" s="79"/>
    </row>
    <row r="447">
      <c r="A447" s="79"/>
    </row>
    <row r="448">
      <c r="A448" s="79"/>
    </row>
    <row r="449">
      <c r="A449" s="79"/>
    </row>
    <row r="450">
      <c r="A450" s="79"/>
    </row>
    <row r="451">
      <c r="A451" s="79"/>
    </row>
    <row r="452">
      <c r="A452" s="79"/>
    </row>
    <row r="453">
      <c r="A453" s="79"/>
    </row>
    <row r="454">
      <c r="A454" s="79"/>
    </row>
    <row r="455">
      <c r="A455" s="79"/>
    </row>
    <row r="456">
      <c r="A456" s="79"/>
    </row>
    <row r="457">
      <c r="A457" s="79"/>
    </row>
    <row r="458">
      <c r="A458" s="79"/>
    </row>
    <row r="459">
      <c r="A459" s="79"/>
    </row>
    <row r="460">
      <c r="A460" s="79"/>
    </row>
    <row r="461">
      <c r="A461" s="79"/>
    </row>
    <row r="462">
      <c r="A462" s="79"/>
    </row>
    <row r="463">
      <c r="A463" s="79"/>
    </row>
    <row r="464">
      <c r="A464" s="79"/>
    </row>
    <row r="465">
      <c r="A465" s="79"/>
    </row>
    <row r="466">
      <c r="A466" s="79"/>
    </row>
    <row r="467">
      <c r="A467" s="79"/>
    </row>
    <row r="468">
      <c r="A468" s="79"/>
    </row>
    <row r="469">
      <c r="A469" s="79"/>
    </row>
    <row r="470">
      <c r="A470" s="79"/>
    </row>
    <row r="471">
      <c r="A471" s="79"/>
    </row>
    <row r="472">
      <c r="A472" s="79"/>
    </row>
    <row r="473">
      <c r="A473" s="79"/>
    </row>
    <row r="474">
      <c r="A474" s="79"/>
    </row>
    <row r="475">
      <c r="A475" s="79"/>
    </row>
    <row r="476">
      <c r="A476" s="79"/>
    </row>
    <row r="477">
      <c r="A477" s="79"/>
    </row>
    <row r="478">
      <c r="A478" s="79"/>
    </row>
    <row r="479">
      <c r="A479" s="79"/>
    </row>
    <row r="480">
      <c r="A480" s="79"/>
    </row>
    <row r="481">
      <c r="A481" s="79"/>
    </row>
    <row r="482">
      <c r="A482" s="79"/>
    </row>
    <row r="483">
      <c r="A483" s="79"/>
    </row>
    <row r="484">
      <c r="A484" s="79"/>
    </row>
    <row r="485">
      <c r="A485" s="79"/>
    </row>
    <row r="486">
      <c r="A486" s="79"/>
    </row>
    <row r="487">
      <c r="A487" s="79"/>
    </row>
    <row r="488">
      <c r="A488" s="79"/>
    </row>
    <row r="489">
      <c r="A489" s="79"/>
    </row>
    <row r="490">
      <c r="A490" s="79"/>
    </row>
    <row r="491">
      <c r="A491" s="79"/>
    </row>
    <row r="492">
      <c r="A492" s="79"/>
    </row>
    <row r="493">
      <c r="A493" s="79"/>
    </row>
    <row r="494">
      <c r="A494" s="79"/>
    </row>
    <row r="495">
      <c r="A495" s="79"/>
    </row>
    <row r="496">
      <c r="A496" s="79"/>
    </row>
    <row r="497">
      <c r="A497" s="79"/>
    </row>
    <row r="498">
      <c r="A498" s="79"/>
    </row>
    <row r="499">
      <c r="A499" s="79"/>
    </row>
    <row r="500">
      <c r="A500" s="79"/>
    </row>
    <row r="501">
      <c r="A501" s="79"/>
    </row>
    <row r="502">
      <c r="A502" s="79"/>
    </row>
    <row r="503">
      <c r="A503" s="79"/>
    </row>
    <row r="504">
      <c r="A504" s="79"/>
    </row>
    <row r="505">
      <c r="A505" s="79"/>
    </row>
    <row r="506">
      <c r="A506" s="79"/>
    </row>
    <row r="507">
      <c r="A507" s="79"/>
    </row>
    <row r="508">
      <c r="A508" s="79"/>
    </row>
    <row r="509">
      <c r="A509" s="79"/>
    </row>
    <row r="510">
      <c r="A510" s="79"/>
    </row>
    <row r="511">
      <c r="A511" s="79"/>
    </row>
    <row r="512">
      <c r="A512" s="79"/>
    </row>
    <row r="513">
      <c r="A513" s="79"/>
    </row>
    <row r="514">
      <c r="A514" s="79"/>
    </row>
    <row r="515">
      <c r="A515" s="79"/>
    </row>
    <row r="516">
      <c r="A516" s="79"/>
    </row>
    <row r="517">
      <c r="A517" s="79"/>
    </row>
    <row r="518">
      <c r="A518" s="79"/>
    </row>
    <row r="519">
      <c r="A519" s="79"/>
    </row>
    <row r="520">
      <c r="A520" s="79"/>
    </row>
    <row r="521">
      <c r="A521" s="79"/>
    </row>
    <row r="522">
      <c r="A522" s="79"/>
    </row>
    <row r="523">
      <c r="A523" s="79"/>
    </row>
    <row r="524">
      <c r="A524" s="79"/>
    </row>
    <row r="525">
      <c r="A525" s="79"/>
    </row>
    <row r="526">
      <c r="A526" s="79"/>
    </row>
    <row r="527">
      <c r="A527" s="79"/>
    </row>
    <row r="528">
      <c r="A528" s="79"/>
    </row>
    <row r="529">
      <c r="A529" s="79"/>
    </row>
    <row r="530">
      <c r="A530" s="79"/>
    </row>
    <row r="531">
      <c r="A531" s="79"/>
    </row>
    <row r="532">
      <c r="A532" s="79"/>
    </row>
    <row r="533">
      <c r="A533" s="79"/>
    </row>
    <row r="534">
      <c r="A534" s="79"/>
    </row>
    <row r="535">
      <c r="A535" s="79"/>
    </row>
    <row r="536">
      <c r="A536" s="79"/>
    </row>
    <row r="537">
      <c r="A537" s="79"/>
    </row>
    <row r="538">
      <c r="A538" s="79"/>
    </row>
    <row r="539">
      <c r="A539" s="79"/>
    </row>
    <row r="540">
      <c r="A540" s="79"/>
    </row>
    <row r="541">
      <c r="A541" s="79"/>
    </row>
    <row r="542">
      <c r="A542" s="79"/>
    </row>
    <row r="543">
      <c r="A543" s="79"/>
    </row>
    <row r="544">
      <c r="A544" s="79"/>
    </row>
    <row r="545">
      <c r="A545" s="79"/>
    </row>
    <row r="546">
      <c r="A546" s="79"/>
    </row>
    <row r="547">
      <c r="A547" s="79"/>
    </row>
    <row r="548">
      <c r="A548" s="79"/>
    </row>
    <row r="549">
      <c r="A549" s="79"/>
    </row>
    <row r="550">
      <c r="A550" s="79"/>
    </row>
    <row r="551">
      <c r="A551" s="79"/>
    </row>
    <row r="552">
      <c r="A552" s="79"/>
    </row>
    <row r="553">
      <c r="A553" s="79"/>
    </row>
    <row r="554">
      <c r="A554" s="79"/>
    </row>
    <row r="555">
      <c r="A555" s="79"/>
    </row>
    <row r="556">
      <c r="A556" s="79"/>
    </row>
    <row r="557">
      <c r="A557" s="79"/>
    </row>
    <row r="558">
      <c r="A558" s="79"/>
    </row>
    <row r="559">
      <c r="A559" s="79"/>
    </row>
    <row r="560">
      <c r="A560" s="79"/>
    </row>
    <row r="561">
      <c r="A561" s="79"/>
    </row>
    <row r="562">
      <c r="A562" s="79"/>
    </row>
    <row r="563">
      <c r="A563" s="79"/>
    </row>
    <row r="564">
      <c r="A564" s="79"/>
    </row>
    <row r="565">
      <c r="A565" s="79"/>
    </row>
    <row r="566">
      <c r="A566" s="79"/>
    </row>
    <row r="567">
      <c r="A567" s="79"/>
    </row>
    <row r="568">
      <c r="A568" s="79"/>
    </row>
    <row r="569">
      <c r="A569" s="79"/>
    </row>
    <row r="570">
      <c r="A570" s="79"/>
    </row>
    <row r="571">
      <c r="A571" s="79"/>
    </row>
    <row r="572">
      <c r="A572" s="79"/>
    </row>
    <row r="573">
      <c r="A573" s="79"/>
    </row>
    <row r="574">
      <c r="A574" s="79"/>
    </row>
    <row r="575">
      <c r="A575" s="79"/>
    </row>
    <row r="576">
      <c r="A576" s="79"/>
    </row>
    <row r="577">
      <c r="A577" s="79"/>
    </row>
    <row r="578">
      <c r="A578" s="79"/>
    </row>
    <row r="579">
      <c r="A579" s="79"/>
    </row>
    <row r="580">
      <c r="A580" s="79"/>
    </row>
    <row r="581">
      <c r="A581" s="79"/>
    </row>
    <row r="582">
      <c r="A582" s="79"/>
    </row>
    <row r="583">
      <c r="A583" s="79"/>
    </row>
    <row r="584">
      <c r="A584" s="79"/>
    </row>
    <row r="585">
      <c r="A585" s="79"/>
    </row>
    <row r="586">
      <c r="A586" s="79"/>
    </row>
    <row r="587">
      <c r="A587" s="79"/>
    </row>
    <row r="588">
      <c r="A588" s="79"/>
    </row>
    <row r="589">
      <c r="A589" s="79"/>
    </row>
    <row r="590">
      <c r="A590" s="79"/>
    </row>
    <row r="591">
      <c r="A591" s="79"/>
    </row>
    <row r="592">
      <c r="A592" s="79"/>
    </row>
    <row r="593">
      <c r="A593" s="79"/>
    </row>
    <row r="594">
      <c r="A594" s="79"/>
    </row>
    <row r="595">
      <c r="A595" s="79"/>
    </row>
    <row r="596">
      <c r="A596" s="79"/>
    </row>
    <row r="597">
      <c r="A597" s="79"/>
    </row>
    <row r="598">
      <c r="A598" s="79"/>
    </row>
    <row r="599">
      <c r="A599" s="79"/>
    </row>
    <row r="600">
      <c r="A600" s="79"/>
    </row>
    <row r="601">
      <c r="A601" s="79"/>
    </row>
    <row r="602">
      <c r="A602" s="79"/>
    </row>
    <row r="603">
      <c r="A603" s="79"/>
    </row>
    <row r="604">
      <c r="A604" s="79"/>
    </row>
    <row r="605">
      <c r="A605" s="79"/>
    </row>
    <row r="606">
      <c r="A606" s="79"/>
    </row>
    <row r="607">
      <c r="A607" s="79"/>
    </row>
    <row r="608">
      <c r="A608" s="79"/>
    </row>
    <row r="609">
      <c r="A609" s="79"/>
    </row>
    <row r="610">
      <c r="A610" s="79"/>
    </row>
    <row r="611">
      <c r="A611" s="79"/>
    </row>
    <row r="612">
      <c r="A612" s="79"/>
    </row>
    <row r="613">
      <c r="A613" s="79"/>
    </row>
    <row r="614">
      <c r="A614" s="79"/>
    </row>
    <row r="615">
      <c r="A615" s="79"/>
    </row>
    <row r="616">
      <c r="A616" s="79"/>
    </row>
    <row r="617">
      <c r="A617" s="79"/>
    </row>
    <row r="618">
      <c r="A618" s="79"/>
    </row>
    <row r="619">
      <c r="A619" s="79"/>
    </row>
    <row r="620">
      <c r="A620" s="79"/>
    </row>
    <row r="621">
      <c r="A621" s="79"/>
    </row>
    <row r="622">
      <c r="A622" s="79"/>
    </row>
    <row r="623">
      <c r="A623" s="79"/>
    </row>
    <row r="624">
      <c r="A624" s="79"/>
    </row>
    <row r="625">
      <c r="A625" s="79"/>
    </row>
    <row r="626">
      <c r="A626" s="79"/>
    </row>
    <row r="627">
      <c r="A627" s="79"/>
    </row>
    <row r="628">
      <c r="A628" s="79"/>
    </row>
    <row r="629">
      <c r="A629" s="79"/>
    </row>
    <row r="630">
      <c r="A630" s="79"/>
    </row>
    <row r="631">
      <c r="A631" s="79"/>
    </row>
    <row r="632">
      <c r="A632" s="79"/>
    </row>
    <row r="633">
      <c r="A633" s="79"/>
    </row>
    <row r="634">
      <c r="A634" s="79"/>
    </row>
    <row r="635">
      <c r="A635" s="79"/>
    </row>
    <row r="636">
      <c r="A636" s="79"/>
    </row>
    <row r="637">
      <c r="A637" s="79"/>
    </row>
    <row r="638">
      <c r="A638" s="79"/>
    </row>
    <row r="639">
      <c r="A639" s="79"/>
    </row>
    <row r="640">
      <c r="A640" s="79"/>
    </row>
    <row r="641">
      <c r="A641" s="79"/>
    </row>
    <row r="642">
      <c r="A642" s="79"/>
    </row>
    <row r="643">
      <c r="A643" s="79"/>
    </row>
    <row r="644">
      <c r="A644" s="79"/>
    </row>
    <row r="645">
      <c r="A645" s="79"/>
    </row>
    <row r="646">
      <c r="A646" s="79"/>
    </row>
    <row r="647">
      <c r="A647" s="79"/>
    </row>
    <row r="648">
      <c r="A648" s="79"/>
    </row>
    <row r="649">
      <c r="A649" s="79"/>
    </row>
    <row r="650">
      <c r="A650" s="79"/>
    </row>
    <row r="651">
      <c r="A651" s="79"/>
    </row>
    <row r="652">
      <c r="A652" s="79"/>
    </row>
    <row r="653">
      <c r="A653" s="79"/>
    </row>
    <row r="654">
      <c r="A654" s="79"/>
    </row>
    <row r="655">
      <c r="A655" s="79"/>
    </row>
    <row r="656">
      <c r="A656" s="79"/>
    </row>
    <row r="657">
      <c r="A657" s="79"/>
    </row>
    <row r="658">
      <c r="A658" s="79"/>
    </row>
    <row r="659">
      <c r="A659" s="79"/>
    </row>
    <row r="660">
      <c r="A660" s="79"/>
    </row>
    <row r="661">
      <c r="A661" s="79"/>
    </row>
    <row r="662">
      <c r="A662" s="79"/>
    </row>
    <row r="663">
      <c r="A663" s="79"/>
    </row>
    <row r="664">
      <c r="A664" s="79"/>
    </row>
    <row r="665">
      <c r="A665" s="79"/>
    </row>
    <row r="666">
      <c r="A666" s="79"/>
    </row>
    <row r="667">
      <c r="A667" s="79"/>
    </row>
    <row r="668">
      <c r="A668" s="79"/>
    </row>
    <row r="669">
      <c r="A669" s="79"/>
    </row>
    <row r="670">
      <c r="A670" s="79"/>
    </row>
    <row r="671">
      <c r="A671" s="79"/>
    </row>
    <row r="672">
      <c r="A672" s="79"/>
    </row>
    <row r="673">
      <c r="A673" s="79"/>
    </row>
    <row r="674">
      <c r="A674" s="79"/>
    </row>
    <row r="675">
      <c r="A675" s="79"/>
    </row>
    <row r="676">
      <c r="A676" s="79"/>
    </row>
    <row r="677">
      <c r="A677" s="79"/>
    </row>
    <row r="678">
      <c r="A678" s="79"/>
    </row>
    <row r="679">
      <c r="A679" s="79"/>
    </row>
    <row r="680">
      <c r="A680" s="79"/>
    </row>
    <row r="681">
      <c r="A681" s="79"/>
    </row>
    <row r="682">
      <c r="A682" s="79"/>
    </row>
    <row r="683">
      <c r="A683" s="79"/>
    </row>
    <row r="684">
      <c r="A684" s="79"/>
    </row>
    <row r="685">
      <c r="A685" s="79"/>
    </row>
    <row r="686">
      <c r="A686" s="79"/>
    </row>
    <row r="687">
      <c r="A687" s="79"/>
    </row>
    <row r="688">
      <c r="A688" s="79"/>
    </row>
    <row r="689">
      <c r="A689" s="79"/>
    </row>
    <row r="690">
      <c r="A690" s="79"/>
    </row>
    <row r="691">
      <c r="A691" s="79"/>
    </row>
    <row r="692">
      <c r="A692" s="79"/>
    </row>
    <row r="693">
      <c r="A693" s="79"/>
    </row>
    <row r="694">
      <c r="A694" s="79"/>
    </row>
    <row r="695">
      <c r="A695" s="79"/>
    </row>
    <row r="696">
      <c r="A696" s="79"/>
    </row>
    <row r="697">
      <c r="A697" s="79"/>
    </row>
    <row r="698">
      <c r="A698" s="79"/>
    </row>
    <row r="699">
      <c r="A699" s="79"/>
    </row>
    <row r="700">
      <c r="A700" s="79"/>
    </row>
    <row r="701">
      <c r="A701" s="79"/>
    </row>
    <row r="702">
      <c r="A702" s="79"/>
    </row>
    <row r="703">
      <c r="A703" s="79"/>
    </row>
    <row r="704">
      <c r="A704" s="79"/>
    </row>
    <row r="705">
      <c r="A705" s="79"/>
    </row>
    <row r="706">
      <c r="A706" s="79"/>
    </row>
    <row r="707">
      <c r="A707" s="79"/>
    </row>
    <row r="708">
      <c r="A708" s="79"/>
    </row>
    <row r="709">
      <c r="A709" s="79"/>
    </row>
    <row r="710">
      <c r="A710" s="79"/>
    </row>
    <row r="711">
      <c r="A711" s="79"/>
    </row>
    <row r="712">
      <c r="A712" s="79"/>
    </row>
    <row r="713">
      <c r="A713" s="79"/>
    </row>
    <row r="714">
      <c r="A714" s="79"/>
    </row>
    <row r="715">
      <c r="A715" s="79"/>
    </row>
    <row r="716">
      <c r="A716" s="79"/>
    </row>
    <row r="717">
      <c r="A717" s="79"/>
    </row>
    <row r="718">
      <c r="A718" s="79"/>
    </row>
    <row r="719">
      <c r="A719" s="79"/>
    </row>
    <row r="720">
      <c r="A720" s="79"/>
    </row>
    <row r="721">
      <c r="A721" s="79"/>
    </row>
    <row r="722">
      <c r="A722" s="79"/>
    </row>
    <row r="723">
      <c r="A723" s="79"/>
    </row>
    <row r="724">
      <c r="A724" s="79"/>
    </row>
    <row r="725">
      <c r="A725" s="79"/>
    </row>
    <row r="726">
      <c r="A726" s="79"/>
    </row>
    <row r="727">
      <c r="A727" s="79"/>
    </row>
    <row r="728">
      <c r="A728" s="79"/>
    </row>
    <row r="729">
      <c r="A729" s="79"/>
    </row>
    <row r="730">
      <c r="A730" s="79"/>
    </row>
    <row r="731">
      <c r="A731" s="79"/>
    </row>
    <row r="732">
      <c r="A732" s="79"/>
    </row>
    <row r="733">
      <c r="A733" s="79"/>
    </row>
    <row r="734">
      <c r="A734" s="79"/>
    </row>
    <row r="735">
      <c r="A735" s="79"/>
    </row>
    <row r="736">
      <c r="A736" s="79"/>
    </row>
    <row r="737">
      <c r="A737" s="79"/>
    </row>
    <row r="738">
      <c r="A738" s="79"/>
    </row>
    <row r="739">
      <c r="A739" s="79"/>
    </row>
    <row r="740">
      <c r="A740" s="79"/>
    </row>
    <row r="741">
      <c r="A741" s="79"/>
    </row>
    <row r="742">
      <c r="A742" s="79"/>
    </row>
    <row r="743">
      <c r="A743" s="79"/>
    </row>
    <row r="744">
      <c r="A744" s="79"/>
    </row>
    <row r="745">
      <c r="A745" s="79"/>
    </row>
    <row r="746">
      <c r="A746" s="79"/>
    </row>
    <row r="747">
      <c r="A747" s="79"/>
    </row>
    <row r="748">
      <c r="A748" s="79"/>
    </row>
    <row r="749">
      <c r="A749" s="79"/>
    </row>
    <row r="750">
      <c r="A750" s="79"/>
    </row>
    <row r="751">
      <c r="A751" s="79"/>
    </row>
    <row r="752">
      <c r="A752" s="79"/>
    </row>
    <row r="753">
      <c r="A753" s="79"/>
    </row>
    <row r="754">
      <c r="A754" s="79"/>
    </row>
    <row r="755">
      <c r="A755" s="79"/>
    </row>
    <row r="756">
      <c r="A756" s="79"/>
    </row>
    <row r="757">
      <c r="A757" s="79"/>
    </row>
    <row r="758">
      <c r="A758" s="79"/>
    </row>
    <row r="759">
      <c r="A759" s="79"/>
    </row>
    <row r="760">
      <c r="A760" s="79"/>
    </row>
    <row r="761">
      <c r="A761" s="79"/>
    </row>
    <row r="762">
      <c r="A762" s="79"/>
    </row>
    <row r="763">
      <c r="A763" s="79"/>
    </row>
    <row r="764">
      <c r="A764" s="79"/>
    </row>
    <row r="765">
      <c r="A765" s="79"/>
    </row>
    <row r="766">
      <c r="A766" s="79"/>
    </row>
    <row r="767">
      <c r="A767" s="79"/>
    </row>
    <row r="768">
      <c r="A768" s="79"/>
    </row>
    <row r="769">
      <c r="A769" s="79"/>
    </row>
    <row r="770">
      <c r="A770" s="79"/>
    </row>
    <row r="771">
      <c r="A771" s="79"/>
    </row>
    <row r="772">
      <c r="A772" s="79"/>
    </row>
    <row r="773">
      <c r="A773" s="79"/>
    </row>
    <row r="774">
      <c r="A774" s="79"/>
    </row>
    <row r="775">
      <c r="A775" s="79"/>
    </row>
    <row r="776">
      <c r="A776" s="79"/>
    </row>
    <row r="777">
      <c r="A777" s="79"/>
    </row>
    <row r="778">
      <c r="A778" s="79"/>
    </row>
    <row r="779">
      <c r="A779" s="79"/>
    </row>
    <row r="780">
      <c r="A780" s="79"/>
    </row>
    <row r="781">
      <c r="A781" s="79"/>
    </row>
    <row r="782">
      <c r="A782" s="79"/>
    </row>
    <row r="783">
      <c r="A783" s="79"/>
    </row>
    <row r="784">
      <c r="A784" s="79"/>
    </row>
    <row r="785">
      <c r="A785" s="79"/>
    </row>
    <row r="786">
      <c r="A786" s="79"/>
    </row>
    <row r="787">
      <c r="A787" s="79"/>
    </row>
    <row r="788">
      <c r="A788" s="79"/>
    </row>
    <row r="789">
      <c r="A789" s="79"/>
    </row>
    <row r="790">
      <c r="A790" s="79"/>
    </row>
    <row r="791">
      <c r="A791" s="79"/>
    </row>
    <row r="792">
      <c r="A792" s="79"/>
    </row>
    <row r="793">
      <c r="A793" s="79"/>
    </row>
    <row r="794">
      <c r="A794" s="79"/>
    </row>
    <row r="795">
      <c r="A795" s="79"/>
    </row>
    <row r="796">
      <c r="A796" s="79"/>
    </row>
    <row r="797">
      <c r="A797" s="79"/>
    </row>
    <row r="798">
      <c r="A798" s="79"/>
    </row>
    <row r="799">
      <c r="A799" s="79"/>
    </row>
    <row r="800">
      <c r="A800" s="79"/>
    </row>
    <row r="801">
      <c r="A801" s="79"/>
    </row>
    <row r="802">
      <c r="A802" s="79"/>
    </row>
    <row r="803">
      <c r="A803" s="79"/>
    </row>
    <row r="804">
      <c r="A804" s="79"/>
    </row>
    <row r="805">
      <c r="A805" s="79"/>
    </row>
    <row r="806">
      <c r="A806" s="79"/>
    </row>
    <row r="807">
      <c r="A807" s="79"/>
    </row>
    <row r="808">
      <c r="A808" s="79"/>
    </row>
    <row r="809">
      <c r="A809" s="79"/>
    </row>
    <row r="810">
      <c r="A810" s="79"/>
    </row>
    <row r="811">
      <c r="A811" s="79"/>
    </row>
    <row r="812">
      <c r="A812" s="79"/>
    </row>
    <row r="813">
      <c r="A813" s="79"/>
    </row>
    <row r="814">
      <c r="A814" s="79"/>
    </row>
    <row r="815">
      <c r="A815" s="79"/>
    </row>
    <row r="816">
      <c r="A816" s="79"/>
    </row>
    <row r="817">
      <c r="A817" s="79"/>
    </row>
    <row r="818">
      <c r="A818" s="79"/>
    </row>
    <row r="819">
      <c r="A819" s="79"/>
    </row>
    <row r="820">
      <c r="A820" s="79"/>
    </row>
    <row r="821">
      <c r="A821" s="79"/>
    </row>
    <row r="822">
      <c r="A822" s="79"/>
    </row>
    <row r="823">
      <c r="A823" s="79"/>
    </row>
    <row r="824">
      <c r="A824" s="79"/>
    </row>
    <row r="825">
      <c r="A825" s="79"/>
    </row>
    <row r="826">
      <c r="A826" s="79"/>
    </row>
    <row r="827">
      <c r="A827" s="79"/>
    </row>
    <row r="828">
      <c r="A828" s="79"/>
    </row>
    <row r="829">
      <c r="A829" s="79"/>
    </row>
    <row r="830">
      <c r="A830" s="79"/>
    </row>
    <row r="831">
      <c r="A831" s="79"/>
    </row>
    <row r="832">
      <c r="A832" s="79"/>
    </row>
    <row r="833">
      <c r="A833" s="79"/>
    </row>
    <row r="834">
      <c r="A834" s="79"/>
    </row>
    <row r="835">
      <c r="A835" s="79"/>
    </row>
    <row r="836">
      <c r="A836" s="79"/>
    </row>
    <row r="837">
      <c r="A837" s="79"/>
    </row>
    <row r="838">
      <c r="A838" s="79"/>
    </row>
    <row r="839">
      <c r="A839" s="79"/>
    </row>
    <row r="840">
      <c r="A840" s="79"/>
    </row>
    <row r="841">
      <c r="A841" s="79"/>
    </row>
    <row r="842">
      <c r="A842" s="79"/>
    </row>
    <row r="843">
      <c r="A843" s="79"/>
    </row>
    <row r="844">
      <c r="A844" s="79"/>
    </row>
    <row r="845">
      <c r="A845" s="79"/>
    </row>
    <row r="846">
      <c r="A846" s="79"/>
    </row>
    <row r="847">
      <c r="A847" s="79"/>
    </row>
    <row r="848">
      <c r="A848" s="79"/>
    </row>
    <row r="849">
      <c r="A849" s="79"/>
    </row>
    <row r="850">
      <c r="A850" s="79"/>
    </row>
    <row r="851">
      <c r="A851" s="79"/>
    </row>
    <row r="852">
      <c r="A852" s="79"/>
    </row>
    <row r="853">
      <c r="A853" s="79"/>
    </row>
    <row r="854">
      <c r="A854" s="79"/>
    </row>
    <row r="855">
      <c r="A855" s="79"/>
    </row>
    <row r="856">
      <c r="A856" s="79"/>
    </row>
    <row r="857">
      <c r="A857" s="79"/>
    </row>
    <row r="858">
      <c r="A858" s="79"/>
    </row>
    <row r="859">
      <c r="A859" s="79"/>
    </row>
    <row r="860">
      <c r="A860" s="79"/>
    </row>
    <row r="861">
      <c r="A861" s="79"/>
    </row>
    <row r="862">
      <c r="A862" s="79"/>
    </row>
    <row r="863">
      <c r="A863" s="79"/>
    </row>
    <row r="864">
      <c r="A864" s="79"/>
    </row>
    <row r="865">
      <c r="A865" s="79"/>
    </row>
    <row r="866">
      <c r="A866" s="79"/>
    </row>
    <row r="867">
      <c r="A867" s="79"/>
    </row>
    <row r="868">
      <c r="A868" s="79"/>
    </row>
    <row r="869">
      <c r="A869" s="79"/>
    </row>
    <row r="870">
      <c r="A870" s="79"/>
    </row>
    <row r="871">
      <c r="A871" s="79"/>
    </row>
    <row r="872">
      <c r="A872" s="79"/>
    </row>
    <row r="873">
      <c r="A873" s="79"/>
    </row>
    <row r="874">
      <c r="A874" s="79"/>
    </row>
    <row r="875">
      <c r="A875" s="79"/>
    </row>
    <row r="876">
      <c r="A876" s="79"/>
    </row>
    <row r="877">
      <c r="A877" s="79"/>
    </row>
    <row r="878">
      <c r="A878" s="79"/>
    </row>
    <row r="879">
      <c r="A879" s="79"/>
    </row>
    <row r="880">
      <c r="A880" s="79"/>
    </row>
    <row r="881">
      <c r="A881" s="79"/>
    </row>
    <row r="882">
      <c r="A882" s="79"/>
    </row>
    <row r="883">
      <c r="A883" s="79"/>
    </row>
    <row r="884">
      <c r="A884" s="79"/>
    </row>
    <row r="885">
      <c r="A885" s="79"/>
    </row>
    <row r="886">
      <c r="A886" s="79"/>
    </row>
    <row r="887">
      <c r="A887" s="79"/>
    </row>
    <row r="888">
      <c r="A888" s="79"/>
    </row>
    <row r="889">
      <c r="A889" s="79"/>
    </row>
    <row r="890">
      <c r="A890" s="79"/>
    </row>
    <row r="891">
      <c r="A891" s="79"/>
    </row>
    <row r="892">
      <c r="A892" s="79"/>
    </row>
    <row r="893">
      <c r="A893" s="79"/>
    </row>
    <row r="894">
      <c r="A894" s="79"/>
    </row>
    <row r="895">
      <c r="A895" s="79"/>
    </row>
    <row r="896">
      <c r="A896" s="79"/>
    </row>
    <row r="897">
      <c r="A897" s="79"/>
    </row>
    <row r="898">
      <c r="A898" s="79"/>
    </row>
    <row r="899">
      <c r="A899" s="79"/>
    </row>
    <row r="900">
      <c r="A900" s="79"/>
    </row>
    <row r="901">
      <c r="A901" s="79"/>
    </row>
    <row r="902">
      <c r="A902" s="79"/>
    </row>
    <row r="903">
      <c r="A903" s="79"/>
    </row>
    <row r="904">
      <c r="A904" s="79"/>
    </row>
    <row r="905">
      <c r="A905" s="79"/>
    </row>
    <row r="906">
      <c r="A906" s="79"/>
    </row>
    <row r="907">
      <c r="A907" s="79"/>
    </row>
    <row r="908">
      <c r="A908" s="79"/>
    </row>
    <row r="909">
      <c r="A909" s="79"/>
    </row>
    <row r="910">
      <c r="A910" s="79"/>
    </row>
    <row r="911">
      <c r="A911" s="79"/>
    </row>
    <row r="912">
      <c r="A912" s="79"/>
    </row>
    <row r="913">
      <c r="A913" s="79"/>
    </row>
    <row r="914">
      <c r="A914" s="79"/>
    </row>
    <row r="915">
      <c r="A915" s="79"/>
    </row>
    <row r="916">
      <c r="A916" s="79"/>
    </row>
    <row r="917">
      <c r="A917" s="79"/>
    </row>
    <row r="918">
      <c r="A918" s="79"/>
    </row>
    <row r="919">
      <c r="A919" s="79"/>
    </row>
    <row r="920">
      <c r="A920" s="79"/>
    </row>
    <row r="921">
      <c r="A921" s="79"/>
    </row>
    <row r="922">
      <c r="A922" s="79"/>
    </row>
    <row r="923">
      <c r="A923" s="79"/>
    </row>
    <row r="924">
      <c r="A924" s="79"/>
    </row>
    <row r="925">
      <c r="A925" s="79"/>
    </row>
    <row r="926">
      <c r="A926" s="79"/>
    </row>
    <row r="927">
      <c r="A927" s="79"/>
    </row>
    <row r="928">
      <c r="A928" s="79"/>
    </row>
    <row r="929">
      <c r="A929" s="79"/>
    </row>
    <row r="930">
      <c r="A930" s="79"/>
    </row>
    <row r="931">
      <c r="A931" s="79"/>
    </row>
    <row r="932">
      <c r="A932" s="79"/>
    </row>
    <row r="933">
      <c r="A933" s="79"/>
    </row>
    <row r="934">
      <c r="A934" s="79"/>
    </row>
    <row r="935">
      <c r="A935" s="79"/>
    </row>
    <row r="936">
      <c r="A936" s="79"/>
    </row>
    <row r="937">
      <c r="A937" s="79"/>
    </row>
    <row r="938">
      <c r="A938" s="79"/>
    </row>
    <row r="939">
      <c r="A939" s="79"/>
    </row>
    <row r="940">
      <c r="A940" s="79"/>
    </row>
    <row r="941">
      <c r="A941" s="79"/>
    </row>
    <row r="942">
      <c r="A942" s="79"/>
    </row>
    <row r="943">
      <c r="A943" s="79"/>
    </row>
    <row r="944">
      <c r="A944" s="79"/>
    </row>
    <row r="945">
      <c r="A945" s="79"/>
    </row>
    <row r="946">
      <c r="A946" s="79"/>
    </row>
    <row r="947">
      <c r="A947" s="79"/>
    </row>
    <row r="948">
      <c r="A948" s="79"/>
    </row>
    <row r="949">
      <c r="A949" s="79"/>
    </row>
    <row r="950">
      <c r="A950" s="79"/>
    </row>
    <row r="951">
      <c r="A951" s="79"/>
    </row>
    <row r="952">
      <c r="A952" s="79"/>
    </row>
    <row r="953">
      <c r="A953" s="79"/>
    </row>
    <row r="954">
      <c r="A954" s="79"/>
    </row>
    <row r="955">
      <c r="A955" s="79"/>
    </row>
    <row r="956">
      <c r="A956" s="79"/>
    </row>
    <row r="957">
      <c r="A957" s="79"/>
    </row>
    <row r="958">
      <c r="A958" s="79"/>
    </row>
    <row r="959">
      <c r="A959" s="79"/>
    </row>
    <row r="960">
      <c r="A960" s="79"/>
    </row>
    <row r="961">
      <c r="A961" s="79"/>
    </row>
    <row r="962">
      <c r="A962" s="79"/>
    </row>
    <row r="963">
      <c r="A963" s="79"/>
    </row>
    <row r="964">
      <c r="A964" s="79"/>
    </row>
    <row r="965">
      <c r="A965" s="79"/>
    </row>
    <row r="966">
      <c r="A966" s="79"/>
    </row>
    <row r="967">
      <c r="A967" s="79"/>
    </row>
    <row r="968">
      <c r="A968" s="79"/>
    </row>
    <row r="969">
      <c r="A969" s="79"/>
    </row>
    <row r="970">
      <c r="A970" s="79"/>
    </row>
    <row r="971">
      <c r="A971" s="79"/>
    </row>
    <row r="972">
      <c r="A972" s="79"/>
    </row>
    <row r="973">
      <c r="A973" s="79"/>
    </row>
    <row r="974">
      <c r="A974" s="79"/>
    </row>
    <row r="975">
      <c r="A975" s="79"/>
    </row>
    <row r="976">
      <c r="A976" s="79"/>
    </row>
    <row r="977">
      <c r="A977" s="79"/>
    </row>
    <row r="978">
      <c r="A978" s="79"/>
    </row>
    <row r="979">
      <c r="A979" s="79"/>
    </row>
    <row r="980">
      <c r="A980" s="79"/>
    </row>
    <row r="981">
      <c r="A981" s="79"/>
    </row>
    <row r="982">
      <c r="A982" s="79"/>
    </row>
    <row r="983">
      <c r="A983" s="79"/>
    </row>
    <row r="984">
      <c r="A984" s="79"/>
    </row>
    <row r="985">
      <c r="A985" s="79"/>
    </row>
    <row r="986">
      <c r="A986" s="79"/>
    </row>
    <row r="987">
      <c r="A987" s="79"/>
    </row>
    <row r="988">
      <c r="A988" s="79"/>
    </row>
    <row r="989">
      <c r="A989" s="79"/>
    </row>
    <row r="990">
      <c r="A990" s="79"/>
    </row>
    <row r="991">
      <c r="A991" s="79"/>
    </row>
    <row r="992">
      <c r="A992" s="79"/>
    </row>
    <row r="993">
      <c r="A993" s="79"/>
    </row>
    <row r="994">
      <c r="A994" s="79"/>
    </row>
    <row r="995">
      <c r="A995" s="79"/>
    </row>
    <row r="996">
      <c r="A996" s="79"/>
    </row>
    <row r="997">
      <c r="A997" s="79"/>
    </row>
    <row r="998">
      <c r="A998" s="79"/>
    </row>
    <row r="999">
      <c r="A999" s="79"/>
    </row>
    <row r="1000">
      <c r="A1000" s="79"/>
    </row>
    <row r="1001">
      <c r="A1001" s="79"/>
    </row>
    <row r="1002">
      <c r="A1002" s="79"/>
    </row>
  </sheetData>
  <mergeCells count="3">
    <mergeCell ref="B1:E1"/>
    <mergeCell ref="F1:I1"/>
    <mergeCell ref="H42:J42"/>
  </mergeCells>
  <conditionalFormatting sqref="L3:M3">
    <cfRule type="cellIs" dxfId="0" priority="1" operator="greaterThan">
      <formula>"Increased"</formula>
    </cfRule>
  </conditionalFormatting>
  <conditionalFormatting sqref="N3:N38">
    <cfRule type="notContainsBlanks" dxfId="0" priority="2">
      <formula>LEN(TRIM(N3))&gt;0</formula>
    </cfRule>
  </conditionalFormatting>
  <conditionalFormatting sqref="L3:M3">
    <cfRule type="expression" dxfId="0" priority="3">
      <formula>IF(L3&lt;M3,"Increased","Decresed")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0.75"/>
    <col customWidth="1" min="10" max="10" width="18.25"/>
  </cols>
  <sheetData>
    <row r="1">
      <c r="F1" s="115"/>
      <c r="G1" s="116" t="s">
        <v>96</v>
      </c>
      <c r="H1" s="116" t="s">
        <v>97</v>
      </c>
      <c r="I1" s="116" t="s">
        <v>98</v>
      </c>
    </row>
    <row r="2">
      <c r="F2" s="117" t="s">
        <v>23</v>
      </c>
      <c r="G2" s="52">
        <v>0.6582086725998864</v>
      </c>
      <c r="H2" s="118">
        <v>0.6252782587187732</v>
      </c>
      <c r="I2" s="118">
        <v>0.8124392614188533</v>
      </c>
    </row>
    <row r="3">
      <c r="B3" s="119">
        <v>2021.0</v>
      </c>
      <c r="F3" s="117" t="s">
        <v>24</v>
      </c>
      <c r="G3" s="52">
        <v>0.505253738416832</v>
      </c>
      <c r="H3" s="118">
        <v>0.4532479516792036</v>
      </c>
      <c r="I3" s="118">
        <v>0.5843921478965247</v>
      </c>
    </row>
    <row r="4">
      <c r="B4" s="120" t="s">
        <v>15</v>
      </c>
      <c r="C4" s="121">
        <v>9507123.0</v>
      </c>
      <c r="F4" s="117" t="s">
        <v>26</v>
      </c>
      <c r="G4" s="52">
        <v>0.48517315560804825</v>
      </c>
      <c r="H4" s="118">
        <v>0.44701691896705253</v>
      </c>
      <c r="I4" s="118">
        <v>0.6105370150770795</v>
      </c>
    </row>
    <row r="5">
      <c r="B5" s="122" t="s">
        <v>99</v>
      </c>
      <c r="C5" s="123">
        <v>4876732.0</v>
      </c>
      <c r="F5" s="117" t="s">
        <v>27</v>
      </c>
      <c r="G5" s="124">
        <v>0.4101273856475815</v>
      </c>
      <c r="H5" s="118">
        <v>0.37614851790056214</v>
      </c>
      <c r="I5" s="118">
        <v>0.5564205031068813</v>
      </c>
    </row>
    <row r="6">
      <c r="B6" s="125" t="s">
        <v>100</v>
      </c>
      <c r="C6" s="126">
        <f>C5/C4</f>
        <v>0.5129556018</v>
      </c>
      <c r="F6" s="117"/>
      <c r="G6" s="52"/>
      <c r="H6" s="118"/>
      <c r="I6" s="118"/>
    </row>
    <row r="7">
      <c r="B7" s="127" t="s">
        <v>101</v>
      </c>
      <c r="C7" s="123">
        <v>2071826.0</v>
      </c>
      <c r="F7" s="117" t="s">
        <v>29</v>
      </c>
      <c r="G7" s="124">
        <v>0.4026859915316465</v>
      </c>
      <c r="H7" s="118">
        <v>0.4010536730526406</v>
      </c>
      <c r="I7" s="118">
        <v>0.41357356592602024</v>
      </c>
    </row>
    <row r="8">
      <c r="B8" s="125" t="s">
        <v>102</v>
      </c>
      <c r="C8" s="128">
        <v>0.44251178137056896</v>
      </c>
      <c r="F8" s="117" t="s">
        <v>31</v>
      </c>
      <c r="G8" s="76">
        <v>0.8056714820759765</v>
      </c>
      <c r="H8" s="129">
        <v>0.7085590465872156</v>
      </c>
      <c r="I8" s="129">
        <v>0.9165149544863459</v>
      </c>
    </row>
    <row r="9">
      <c r="B9" s="127" t="s">
        <v>103</v>
      </c>
      <c r="C9" s="130">
        <v>2232038.0</v>
      </c>
      <c r="F9" s="117" t="s">
        <v>32</v>
      </c>
      <c r="G9" s="52">
        <v>0.4789786104869201</v>
      </c>
      <c r="H9" s="118">
        <v>0.38382412948857453</v>
      </c>
      <c r="I9" s="118">
        <v>0.6923448258339897</v>
      </c>
    </row>
    <row r="10">
      <c r="B10" s="125" t="s">
        <v>104</v>
      </c>
      <c r="C10" s="128">
        <v>0.6304039911349536</v>
      </c>
      <c r="F10" s="117" t="s">
        <v>34</v>
      </c>
      <c r="G10" s="52">
        <v>0.6426821118289151</v>
      </c>
      <c r="H10" s="118">
        <v>0.5686703096539162</v>
      </c>
      <c r="I10" s="118">
        <v>0.8229768786127167</v>
      </c>
    </row>
    <row r="11">
      <c r="B11" s="131" t="s">
        <v>105</v>
      </c>
      <c r="C11" s="132">
        <v>0.5084193321491111</v>
      </c>
      <c r="F11" s="117" t="s">
        <v>39</v>
      </c>
      <c r="G11" s="52">
        <v>0.7351451187335092</v>
      </c>
      <c r="H11" s="118">
        <v>0.6273656086881231</v>
      </c>
      <c r="I11" s="129">
        <v>0.8809985419236993</v>
      </c>
    </row>
    <row r="12">
      <c r="B12" s="131" t="s">
        <v>106</v>
      </c>
      <c r="C12" s="132">
        <v>0.6028457166516846</v>
      </c>
      <c r="F12" s="117" t="s">
        <v>41</v>
      </c>
      <c r="G12" s="76">
        <v>0.8050737207285342</v>
      </c>
      <c r="H12" s="129">
        <v>0.7898601398601398</v>
      </c>
      <c r="I12" s="129">
        <v>0.9119010819165378</v>
      </c>
    </row>
    <row r="13" ht="52.5" customHeight="1">
      <c r="B13" s="131" t="s">
        <v>107</v>
      </c>
      <c r="C13" s="132">
        <v>0.4147981458969868</v>
      </c>
      <c r="F13" s="117" t="s">
        <v>42</v>
      </c>
      <c r="G13" s="52">
        <v>0.538797412447966</v>
      </c>
      <c r="H13" s="118">
        <v>0.47656667656667656</v>
      </c>
      <c r="I13" s="118">
        <v>0.6992624178863662</v>
      </c>
    </row>
    <row r="14">
      <c r="B14" s="131" t="s">
        <v>108</v>
      </c>
      <c r="C14" s="132">
        <v>0.44464734726364813</v>
      </c>
      <c r="D14" s="133"/>
      <c r="F14" s="117" t="s">
        <v>44</v>
      </c>
      <c r="G14" s="52">
        <v>0.625200973088546</v>
      </c>
      <c r="H14" s="118">
        <v>0.4297003907946157</v>
      </c>
      <c r="I14" s="118">
        <v>0.7504111090809428</v>
      </c>
    </row>
    <row r="15">
      <c r="B15" s="134" t="s">
        <v>109</v>
      </c>
      <c r="C15" s="135">
        <v>0.6730502407952486</v>
      </c>
      <c r="D15" s="133"/>
      <c r="F15" s="117" t="s">
        <v>46</v>
      </c>
      <c r="G15" s="52">
        <v>0.5187592997593298</v>
      </c>
      <c r="H15" s="118">
        <v>0.3982949469253017</v>
      </c>
      <c r="I15" s="118">
        <v>0.7628505383539145</v>
      </c>
    </row>
    <row r="16">
      <c r="F16" s="117" t="s">
        <v>48</v>
      </c>
      <c r="G16" s="52">
        <v>0.4806948882745084</v>
      </c>
      <c r="H16" s="118">
        <v>0.3724206104040529</v>
      </c>
      <c r="I16" s="118">
        <v>0.6348576384295395</v>
      </c>
    </row>
    <row r="17">
      <c r="F17" s="117" t="s">
        <v>50</v>
      </c>
      <c r="G17" s="124">
        <v>0.3950279919018335</v>
      </c>
      <c r="H17" s="118">
        <v>0.2902758620689655</v>
      </c>
      <c r="I17" s="118">
        <v>0.5407297658474232</v>
      </c>
    </row>
    <row r="18">
      <c r="F18" s="117" t="s">
        <v>52</v>
      </c>
      <c r="G18" s="52">
        <v>0.582318387708456</v>
      </c>
      <c r="H18" s="118">
        <v>0.5008767019107877</v>
      </c>
      <c r="I18" s="118">
        <v>0.7267719194562877</v>
      </c>
    </row>
    <row r="19">
      <c r="F19" s="117" t="s">
        <v>54</v>
      </c>
      <c r="G19" s="76">
        <v>0.7944374294621805</v>
      </c>
      <c r="H19" s="129">
        <v>0.7563043216241915</v>
      </c>
      <c r="I19" s="129">
        <v>0.9017671900060329</v>
      </c>
    </row>
    <row r="20">
      <c r="F20" s="117" t="s">
        <v>56</v>
      </c>
      <c r="G20" s="52">
        <v>0.5072298943948009</v>
      </c>
      <c r="H20" s="118">
        <v>0.463884430176565</v>
      </c>
      <c r="I20" s="118">
        <v>0.6641556811048337</v>
      </c>
    </row>
    <row r="21">
      <c r="F21" s="117" t="s">
        <v>57</v>
      </c>
      <c r="G21" s="52">
        <v>0.5248138957816377</v>
      </c>
      <c r="H21" s="118">
        <v>0.5329032258064517</v>
      </c>
      <c r="I21" s="118">
        <v>0.0</v>
      </c>
    </row>
    <row r="22">
      <c r="F22" s="117" t="s">
        <v>58</v>
      </c>
      <c r="G22" s="52">
        <v>0.4710965256616678</v>
      </c>
      <c r="H22" s="118">
        <v>0.3461340537758909</v>
      </c>
      <c r="I22" s="118">
        <v>0.6037574454119503</v>
      </c>
    </row>
    <row r="23">
      <c r="F23" s="117" t="s">
        <v>60</v>
      </c>
      <c r="G23" s="52">
        <v>0.4841014228101134</v>
      </c>
      <c r="H23" s="118">
        <v>0.3897993145648519</v>
      </c>
      <c r="I23" s="118">
        <v>0.7512447747329308</v>
      </c>
    </row>
    <row r="24">
      <c r="F24" s="117" t="s">
        <v>62</v>
      </c>
      <c r="G24" s="52">
        <v>0.543060631618405</v>
      </c>
      <c r="H24" s="118">
        <v>0.5270847012475377</v>
      </c>
      <c r="I24" s="118">
        <v>0.5732775211701309</v>
      </c>
    </row>
    <row r="25">
      <c r="F25" s="117" t="s">
        <v>63</v>
      </c>
      <c r="G25" s="52">
        <v>0.5842458303118202</v>
      </c>
      <c r="H25" s="118">
        <v>0.5362987272162846</v>
      </c>
      <c r="I25" s="118">
        <v>0.7021050045048735</v>
      </c>
    </row>
    <row r="26">
      <c r="F26" s="117" t="s">
        <v>64</v>
      </c>
      <c r="G26" s="52">
        <v>0.47119746640417703</v>
      </c>
      <c r="H26" s="118">
        <v>0.43655012353073297</v>
      </c>
      <c r="I26" s="118">
        <v>0.5540338983050848</v>
      </c>
    </row>
    <row r="27">
      <c r="F27" s="117" t="s">
        <v>65</v>
      </c>
      <c r="G27" s="52">
        <v>0.5556333991465512</v>
      </c>
      <c r="H27" s="118">
        <v>0.49877176118765354</v>
      </c>
      <c r="I27" s="118">
        <v>0.6480265823810681</v>
      </c>
    </row>
    <row r="28">
      <c r="F28" s="117" t="s">
        <v>66</v>
      </c>
      <c r="G28" s="52">
        <v>0.46446507472776877</v>
      </c>
      <c r="H28" s="118">
        <v>0.4428495029413676</v>
      </c>
      <c r="I28" s="118">
        <v>0.6102165534029821</v>
      </c>
    </row>
    <row r="29">
      <c r="F29" s="117" t="s">
        <v>68</v>
      </c>
      <c r="G29" s="76">
        <v>0.7506272764063132</v>
      </c>
      <c r="H29" s="129">
        <v>0.671971706454465</v>
      </c>
      <c r="I29" s="118">
        <v>0.7982845312037858</v>
      </c>
    </row>
    <row r="30">
      <c r="F30" s="117" t="s">
        <v>69</v>
      </c>
      <c r="G30" s="52">
        <v>0.7522653558067</v>
      </c>
      <c r="H30" s="118">
        <v>0.6373269987280248</v>
      </c>
      <c r="I30" s="118">
        <v>0.8604291543225471</v>
      </c>
    </row>
    <row r="31">
      <c r="F31" s="117" t="s">
        <v>71</v>
      </c>
      <c r="G31" s="124">
        <v>0.3966046720265001</v>
      </c>
      <c r="H31" s="118">
        <v>0.3372534380318899</v>
      </c>
      <c r="I31" s="118">
        <v>0.46805721461606786</v>
      </c>
    </row>
    <row r="32">
      <c r="F32" s="117" t="s">
        <v>73</v>
      </c>
      <c r="G32" s="52">
        <v>0.6001616102255197</v>
      </c>
      <c r="H32" s="118">
        <v>0.5663930976430976</v>
      </c>
      <c r="I32" s="118">
        <v>0.7309111552653988</v>
      </c>
    </row>
    <row r="33">
      <c r="F33" s="117" t="s">
        <v>74</v>
      </c>
      <c r="G33" s="76">
        <v>0.7502860050533409</v>
      </c>
      <c r="H33" s="129">
        <v>0.6518994537904939</v>
      </c>
      <c r="I33" s="118">
        <v>0.8474934650014522</v>
      </c>
    </row>
    <row r="34">
      <c r="F34" s="117" t="s">
        <v>76</v>
      </c>
      <c r="G34" s="52">
        <v>0.6058542696342094</v>
      </c>
      <c r="H34" s="118">
        <v>0.46559202079353645</v>
      </c>
      <c r="I34" s="118">
        <v>0.7130508522486361</v>
      </c>
    </row>
    <row r="35">
      <c r="F35" s="117" t="s">
        <v>78</v>
      </c>
      <c r="G35" s="124">
        <v>0.3495182938544726</v>
      </c>
      <c r="H35" s="118">
        <v>0.31648463296926593</v>
      </c>
      <c r="I35" s="118">
        <v>0.5065417541592635</v>
      </c>
    </row>
    <row r="36">
      <c r="F36" s="117" t="s">
        <v>79</v>
      </c>
      <c r="G36" s="52">
        <v>0.4567861851617028</v>
      </c>
      <c r="H36" s="118">
        <v>0.4905020852203804</v>
      </c>
      <c r="I36" s="118">
        <v>0.4634526080724598</v>
      </c>
    </row>
    <row r="37">
      <c r="F37" s="117" t="s">
        <v>81</v>
      </c>
      <c r="G37" s="52">
        <v>0.5499788981592701</v>
      </c>
      <c r="H37" s="118">
        <v>0.41353304703048077</v>
      </c>
      <c r="I37" s="118">
        <v>0.7061371584796463</v>
      </c>
    </row>
    <row r="38">
      <c r="F38" s="117" t="s">
        <v>83</v>
      </c>
      <c r="G38" s="52">
        <v>0.43623116899638464</v>
      </c>
      <c r="H38" s="118">
        <v>0.4006079517030279</v>
      </c>
      <c r="I38" s="118">
        <v>0.606534377756757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H1" s="136" t="s">
        <v>20</v>
      </c>
      <c r="I1" s="137" t="s">
        <v>110</v>
      </c>
      <c r="J1" s="137" t="s">
        <v>111</v>
      </c>
      <c r="K1" s="137" t="s">
        <v>112</v>
      </c>
      <c r="L1" s="137" t="s">
        <v>113</v>
      </c>
    </row>
    <row r="2">
      <c r="A2" s="138">
        <v>2018.0</v>
      </c>
      <c r="H2" s="48">
        <v>5281.0</v>
      </c>
      <c r="I2" s="60">
        <f>2226+1109</f>
        <v>3335</v>
      </c>
      <c r="J2" s="60">
        <f>7+18</f>
        <v>25</v>
      </c>
      <c r="K2" s="60">
        <f>237+138</f>
        <v>375</v>
      </c>
      <c r="L2" s="60">
        <f>1006+540</f>
        <v>1546</v>
      </c>
    </row>
    <row r="3">
      <c r="H3" s="60">
        <v>320724.0</v>
      </c>
      <c r="I3" s="60">
        <f>53520+46267</f>
        <v>99787</v>
      </c>
      <c r="J3" s="60">
        <f>31394+28828</f>
        <v>60222</v>
      </c>
      <c r="K3" s="60">
        <f>7161+10319</f>
        <v>17480</v>
      </c>
      <c r="L3" s="60">
        <f>69972+73263</f>
        <v>143235</v>
      </c>
    </row>
    <row r="4">
      <c r="H4" s="60">
        <v>23707.0</v>
      </c>
      <c r="I4" s="60">
        <f>2104+2693</f>
        <v>4797</v>
      </c>
      <c r="J4" s="60">
        <f>174+235</f>
        <v>409</v>
      </c>
      <c r="K4" s="60">
        <f>8719+8502</f>
        <v>17221</v>
      </c>
      <c r="L4" s="60">
        <f>505+775</f>
        <v>1280</v>
      </c>
    </row>
    <row r="5">
      <c r="H5" s="60">
        <v>352944.0</v>
      </c>
      <c r="I5" s="60">
        <f>64288+101149</f>
        <v>165437</v>
      </c>
      <c r="J5" s="60">
        <f>9633+15277</f>
        <v>24910</v>
      </c>
      <c r="K5" s="60">
        <f>22457+32366</f>
        <v>54823</v>
      </c>
      <c r="L5" s="60">
        <f>48374+59400</f>
        <v>107774</v>
      </c>
    </row>
    <row r="6">
      <c r="H6" s="60">
        <v>582876.0</v>
      </c>
      <c r="I6" s="60">
        <f>96367+119850</f>
        <v>216217</v>
      </c>
      <c r="J6" s="60">
        <f>22098+41890</f>
        <v>63988</v>
      </c>
      <c r="K6" s="60">
        <f>3866+4907</f>
        <v>8773</v>
      </c>
      <c r="L6" s="60">
        <f>112385+181513</f>
        <v>293898</v>
      </c>
    </row>
    <row r="7">
      <c r="H7" s="60">
        <v>9345.0</v>
      </c>
      <c r="I7" s="60">
        <f>6445+1071</f>
        <v>7516</v>
      </c>
      <c r="J7" s="60">
        <f>530+282</f>
        <v>812</v>
      </c>
      <c r="K7" s="60">
        <f>20+5</f>
        <v>25</v>
      </c>
      <c r="L7" s="60">
        <f>534+458</f>
        <v>992</v>
      </c>
    </row>
    <row r="8">
      <c r="H8" s="60">
        <v>260782.0</v>
      </c>
      <c r="I8" s="60">
        <f>39295+20540</f>
        <v>59835</v>
      </c>
      <c r="J8" s="60">
        <f>12716+19068</f>
        <v>31784</v>
      </c>
      <c r="K8" s="60">
        <f>28402+40834</f>
        <v>69236</v>
      </c>
      <c r="L8" s="60">
        <f>44496+55431</f>
        <v>99927</v>
      </c>
    </row>
    <row r="9">
      <c r="H9" s="60">
        <v>4489.0</v>
      </c>
      <c r="I9" s="60">
        <f>1525+412</f>
        <v>1937</v>
      </c>
      <c r="J9" s="60">
        <f>147+91</f>
        <v>238</v>
      </c>
      <c r="K9" s="60">
        <f>664+780</f>
        <v>1444</v>
      </c>
      <c r="L9" s="60">
        <f>549+321</f>
        <v>870</v>
      </c>
    </row>
    <row r="10">
      <c r="H10" s="60">
        <v>151600.0</v>
      </c>
      <c r="I10" s="60">
        <f>86647+23866</f>
        <v>110513</v>
      </c>
      <c r="J10" s="60">
        <f>9113+6993</f>
        <v>16106</v>
      </c>
      <c r="K10" s="60">
        <f>2001+2683</f>
        <v>4684</v>
      </c>
      <c r="L10" s="60">
        <f>13687+6610</f>
        <v>20297</v>
      </c>
    </row>
    <row r="11">
      <c r="H11" s="60">
        <v>13836.0</v>
      </c>
      <c r="I11" s="60">
        <f>9438+2062</f>
        <v>11500</v>
      </c>
      <c r="J11" s="60">
        <f>71+48</f>
        <v>119</v>
      </c>
      <c r="K11" s="60">
        <f>357+229</f>
        <v>586</v>
      </c>
      <c r="L11" s="60">
        <f>1273+358</f>
        <v>1631</v>
      </c>
    </row>
    <row r="12">
      <c r="H12" s="60">
        <v>378118.0</v>
      </c>
      <c r="I12" s="60">
        <f>110612+69564</f>
        <v>180176</v>
      </c>
      <c r="J12" s="60">
        <f>15233+16912</f>
        <v>32145</v>
      </c>
      <c r="K12" s="60">
        <f>21594+23164</f>
        <v>44758</v>
      </c>
      <c r="L12" s="60">
        <f>56290+64749</f>
        <v>121039</v>
      </c>
    </row>
    <row r="13">
      <c r="H13" s="60">
        <v>237594.0</v>
      </c>
      <c r="I13" s="60">
        <f>113831+51385</f>
        <v>165216</v>
      </c>
      <c r="J13" s="60">
        <f>9038+13671</f>
        <v>22709</v>
      </c>
      <c r="K13" s="60">
        <f>32+26</f>
        <v>58</v>
      </c>
      <c r="L13" s="60">
        <f>25643+23968</f>
        <v>49611</v>
      </c>
    </row>
    <row r="14">
      <c r="H14" s="60">
        <v>100137.0</v>
      </c>
      <c r="I14" s="60">
        <f>36592+29735</f>
        <v>66327</v>
      </c>
      <c r="J14" s="60">
        <f>6854+9153</f>
        <v>16007</v>
      </c>
      <c r="K14" s="60">
        <f>2869+3448</f>
        <v>6317</v>
      </c>
      <c r="L14" s="60">
        <f>5632+5854</f>
        <v>11486</v>
      </c>
    </row>
    <row r="15">
      <c r="H15" s="60">
        <v>167106.0</v>
      </c>
      <c r="I15" s="60">
        <f>70367+69070</f>
        <v>139437</v>
      </c>
      <c r="J15" s="60">
        <f>3931+3790</f>
        <v>7721</v>
      </c>
      <c r="K15" s="60">
        <f>2561+7006</f>
        <v>9567</v>
      </c>
      <c r="L15" s="60">
        <f>3468+6913</f>
        <v>10381</v>
      </c>
    </row>
    <row r="16">
      <c r="H16" s="60">
        <v>210418.0</v>
      </c>
      <c r="I16" s="60">
        <f>27917+31514</f>
        <v>59431</v>
      </c>
      <c r="J16" s="60">
        <f>3386+10375</f>
        <v>13761</v>
      </c>
      <c r="K16" s="60">
        <f>23338+21307</f>
        <v>44645</v>
      </c>
      <c r="L16" s="60">
        <f>28480+64101</f>
        <v>92581</v>
      </c>
    </row>
    <row r="17">
      <c r="H17" s="60">
        <v>431386.0</v>
      </c>
      <c r="I17" s="60">
        <f>59688+21585</f>
        <v>81273</v>
      </c>
      <c r="J17" s="60">
        <f>22973+27144</f>
        <v>50117</v>
      </c>
      <c r="K17" s="60">
        <f>6938+9367</f>
        <v>16305</v>
      </c>
      <c r="L17" s="60">
        <f>161605+122086</f>
        <v>283691</v>
      </c>
    </row>
    <row r="18">
      <c r="H18" s="60">
        <v>268473.0</v>
      </c>
      <c r="I18" s="60">
        <f>103820+22343</f>
        <v>126163</v>
      </c>
      <c r="J18" s="60">
        <f>9094+2609</f>
        <v>11703</v>
      </c>
      <c r="K18" s="60">
        <f>1892+483</f>
        <v>2375</v>
      </c>
      <c r="L18" s="60">
        <f>98479+29753</f>
        <v>128232</v>
      </c>
    </row>
    <row r="19">
      <c r="H19" s="60">
        <v>6155.0</v>
      </c>
      <c r="I19" s="60">
        <f>202+150</f>
        <v>352</v>
      </c>
      <c r="J19" s="60">
        <f>11+49</f>
        <v>60</v>
      </c>
      <c r="K19" s="60">
        <f>2892+2799</f>
        <v>5691</v>
      </c>
      <c r="L19" s="60">
        <f>17+35</f>
        <v>52</v>
      </c>
    </row>
    <row r="20">
      <c r="H20" s="60">
        <v>806.0</v>
      </c>
      <c r="I20" s="60">
        <f>4+13</f>
        <v>17</v>
      </c>
      <c r="J20" s="60">
        <f>7+4</f>
        <v>11</v>
      </c>
      <c r="K20" s="60">
        <f>406+357</f>
        <v>763</v>
      </c>
      <c r="L20" s="60">
        <f>6+9</f>
        <v>15</v>
      </c>
    </row>
    <row r="21">
      <c r="H21" s="60">
        <v>601208.0</v>
      </c>
      <c r="I21" s="60">
        <f>138554+113197</f>
        <v>251751</v>
      </c>
      <c r="J21" s="60">
        <f>26667+45372</f>
        <v>72039</v>
      </c>
      <c r="K21" s="60">
        <f>22650+42073</f>
        <v>64723</v>
      </c>
      <c r="L21" s="60">
        <f>95356+117339</f>
        <v>212695</v>
      </c>
    </row>
    <row r="22">
      <c r="H22" s="60">
        <v>748589.0</v>
      </c>
      <c r="I22" s="60">
        <f>213801+165144</f>
        <v>378945</v>
      </c>
      <c r="J22" s="60">
        <f>34201+46455</f>
        <v>80656</v>
      </c>
      <c r="K22" s="60">
        <f>13486+32537</f>
        <v>46023</v>
      </c>
      <c r="L22" s="60">
        <f>100905+142060</f>
        <v>242965</v>
      </c>
    </row>
    <row r="23">
      <c r="H23" s="60">
        <v>42684.0</v>
      </c>
      <c r="I23" s="60">
        <f>8492+6310</f>
        <v>14802</v>
      </c>
      <c r="J23" s="60">
        <f>994+1016</f>
        <v>2010</v>
      </c>
      <c r="K23" s="60">
        <f>9395+7689</f>
        <v>17084</v>
      </c>
      <c r="L23" s="60">
        <f>4299+4489</f>
        <v>8788</v>
      </c>
    </row>
    <row r="24">
      <c r="H24" s="60">
        <v>55160.0</v>
      </c>
      <c r="I24" s="60">
        <f>2153+3129</f>
        <v>5282</v>
      </c>
      <c r="J24" s="60">
        <f>260+399</f>
        <v>659</v>
      </c>
      <c r="K24" s="60">
        <f>29591+18901</f>
        <v>48492</v>
      </c>
      <c r="L24" s="60">
        <f>223+504</f>
        <v>727</v>
      </c>
    </row>
    <row r="25">
      <c r="H25" s="60">
        <v>23366.0</v>
      </c>
      <c r="I25" s="60">
        <f>145+226</f>
        <v>371</v>
      </c>
      <c r="J25" s="60">
        <f>55+70</f>
        <v>125</v>
      </c>
      <c r="K25" s="60">
        <f>10783+11958</f>
        <v>22741</v>
      </c>
      <c r="L25" s="60">
        <f>27+102</f>
        <v>129</v>
      </c>
    </row>
    <row r="26">
      <c r="H26" s="60">
        <v>31402.0</v>
      </c>
      <c r="I26" s="60">
        <f>828+1061</f>
        <v>1889</v>
      </c>
      <c r="J26" s="60">
        <f>168+257</f>
        <v>425</v>
      </c>
      <c r="K26" s="60">
        <f>16265+12255</f>
        <v>28520</v>
      </c>
      <c r="L26" s="60">
        <f>187+381</f>
        <v>568</v>
      </c>
    </row>
    <row r="27">
      <c r="H27" s="60">
        <v>331336.0</v>
      </c>
      <c r="I27" s="60">
        <f>59632+46376</f>
        <v>106008</v>
      </c>
      <c r="J27" s="60">
        <f>16364+24727</f>
        <v>41091</v>
      </c>
      <c r="K27" s="60">
        <f>15968+25126</f>
        <v>41094</v>
      </c>
      <c r="L27" s="60">
        <f>61930+81213</f>
        <v>143143</v>
      </c>
    </row>
    <row r="28">
      <c r="H28" s="60">
        <v>12355.0</v>
      </c>
      <c r="I28" s="60">
        <f>1085+341</f>
        <v>1426</v>
      </c>
      <c r="J28" s="60">
        <f>996+577</f>
        <v>1573</v>
      </c>
      <c r="K28" s="60">
        <f>10+8</f>
        <v>18</v>
      </c>
      <c r="L28" s="60">
        <f>7183+2155</f>
        <v>9338</v>
      </c>
    </row>
    <row r="29">
      <c r="H29" s="60">
        <v>257134.0</v>
      </c>
      <c r="I29" s="139">
        <f>139391+38001</f>
        <v>177392</v>
      </c>
      <c r="J29" s="139">
        <f>29265+15087</f>
        <v>44352</v>
      </c>
      <c r="K29" s="139">
        <f>94+71</f>
        <v>165</v>
      </c>
      <c r="L29" s="139">
        <f>24683+10542</f>
        <v>35225</v>
      </c>
    </row>
    <row r="30">
      <c r="H30" s="60">
        <v>724525.0</v>
      </c>
      <c r="I30" s="60">
        <f>130555+110969</f>
        <v>241524</v>
      </c>
      <c r="J30" s="60">
        <f>28091+75411</f>
        <v>103502</v>
      </c>
      <c r="K30" s="60">
        <f>19979+53150</f>
        <v>73129</v>
      </c>
      <c r="L30" s="60">
        <f>108725+197645</f>
        <v>306370</v>
      </c>
    </row>
    <row r="31">
      <c r="H31" s="60">
        <v>13613.0</v>
      </c>
      <c r="I31" s="60">
        <f>777+714</f>
        <v>1491</v>
      </c>
      <c r="J31" s="60">
        <f>301+160</f>
        <v>461</v>
      </c>
      <c r="K31" s="60">
        <f>3548+2137</f>
        <v>5685</v>
      </c>
      <c r="L31" s="60">
        <f>3544+2432</f>
        <v>5976</v>
      </c>
    </row>
    <row r="32">
      <c r="H32" s="60">
        <v>569920.0</v>
      </c>
      <c r="I32" s="60">
        <f>46839+8872</f>
        <v>55711</v>
      </c>
      <c r="J32" s="60">
        <f>59681+29651</f>
        <v>89332</v>
      </c>
      <c r="K32" s="60">
        <f>1570+1197</f>
        <v>2767</v>
      </c>
      <c r="L32" s="60">
        <f>319513+102597</f>
        <v>422110</v>
      </c>
    </row>
    <row r="33">
      <c r="H33" s="60">
        <v>320894.0</v>
      </c>
      <c r="I33" s="60">
        <f>78273+32870</f>
        <v>111143</v>
      </c>
      <c r="J33" s="60">
        <f>23970+19221</f>
        <v>43191</v>
      </c>
      <c r="K33" s="60">
        <f>9185+13916</f>
        <v>23101</v>
      </c>
      <c r="L33" s="60">
        <f>82987+60472</f>
        <v>143459</v>
      </c>
    </row>
    <row r="34">
      <c r="H34" s="60">
        <v>36433.0</v>
      </c>
      <c r="I34" s="60">
        <f>4858+6979</f>
        <v>11837</v>
      </c>
      <c r="J34" s="60">
        <f>1746+4045</f>
        <v>5791</v>
      </c>
      <c r="K34" s="60">
        <f>4109+8035</f>
        <v>12144</v>
      </c>
      <c r="L34" s="60">
        <f>2021+4640</f>
        <v>6661</v>
      </c>
    </row>
    <row r="35">
      <c r="H35" s="60">
        <v>1507828.0</v>
      </c>
      <c r="I35" s="140">
        <f>343477+316423</f>
        <v>659900</v>
      </c>
      <c r="J35" s="140">
        <f>77625+132477</f>
        <v>210102</v>
      </c>
      <c r="K35" s="140">
        <f>2768+4066</f>
        <v>6834</v>
      </c>
      <c r="L35" s="140">
        <f>264885+366107</f>
        <v>630992</v>
      </c>
    </row>
    <row r="36">
      <c r="H36" s="60">
        <v>123212.0</v>
      </c>
      <c r="I36" s="60">
        <f>49422+33893</f>
        <v>83315</v>
      </c>
      <c r="J36" s="60">
        <f>6437+9054</f>
        <v>15491</v>
      </c>
      <c r="K36" s="60">
        <f>1601+1550</f>
        <v>3151</v>
      </c>
      <c r="L36" s="60">
        <f>10284+10951</f>
        <v>21235</v>
      </c>
    </row>
    <row r="37">
      <c r="H37" s="60">
        <v>581687.0</v>
      </c>
      <c r="I37" s="60">
        <f>171050+175689</f>
        <v>346739</v>
      </c>
      <c r="J37" s="60">
        <f>42930+77730</f>
        <v>120660</v>
      </c>
      <c r="K37" s="60">
        <f>9822+16109</f>
        <v>25931</v>
      </c>
      <c r="L37" s="60">
        <f>29948+58409</f>
        <v>88357</v>
      </c>
    </row>
    <row r="38">
      <c r="H38" s="71">
        <v>9507123.0</v>
      </c>
      <c r="I38" s="141">
        <f t="shared" ref="I38:L38" si="1">SUM(I2:I37)</f>
        <v>3948792</v>
      </c>
      <c r="J38" s="141">
        <f t="shared" si="1"/>
        <v>1184307</v>
      </c>
      <c r="K38" s="141">
        <f t="shared" si="1"/>
        <v>726728</v>
      </c>
      <c r="L38" s="141">
        <f t="shared" si="1"/>
        <v>3647276</v>
      </c>
    </row>
    <row r="39">
      <c r="I39" s="142">
        <f>I38/H38*100</f>
        <v>41.53508901</v>
      </c>
      <c r="J39" s="142">
        <f>J38/H38*100</f>
        <v>12.45704931</v>
      </c>
      <c r="K39" s="142">
        <f>K38/H38*100</f>
        <v>7.644037003</v>
      </c>
      <c r="L39" s="142">
        <f>L38/H38*100</f>
        <v>38.36361431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3" max="3" width="11.25"/>
    <col customWidth="1" min="4" max="4" width="16.38"/>
    <col customWidth="1" min="5" max="5" width="13.5"/>
    <col customWidth="1" min="6" max="6" width="12.5"/>
    <col customWidth="1" min="7" max="7" width="15.38"/>
    <col customWidth="1" min="8" max="8" width="20.63"/>
    <col customWidth="1" min="9" max="9" width="18.0"/>
    <col customWidth="1" min="11" max="11" width="18.25"/>
    <col customWidth="1" min="13" max="13" width="17.75"/>
    <col customWidth="1" min="14" max="14" width="15.5"/>
    <col customWidth="1" min="15" max="15" width="13.5"/>
    <col customWidth="1" min="16" max="17" width="12.5"/>
  </cols>
  <sheetData>
    <row r="1">
      <c r="A1" s="36" t="s">
        <v>18</v>
      </c>
      <c r="B1" s="143" t="s">
        <v>14</v>
      </c>
      <c r="C1" s="144" t="s">
        <v>14</v>
      </c>
      <c r="D1" s="119" t="s">
        <v>114</v>
      </c>
      <c r="E1" s="119" t="s">
        <v>114</v>
      </c>
      <c r="F1" s="116" t="s">
        <v>115</v>
      </c>
      <c r="G1" s="116" t="s">
        <v>115</v>
      </c>
      <c r="H1" s="116" t="s">
        <v>116</v>
      </c>
      <c r="I1" s="116" t="s">
        <v>116</v>
      </c>
      <c r="J1" s="145" t="s">
        <v>117</v>
      </c>
      <c r="K1" s="145" t="s">
        <v>117</v>
      </c>
      <c r="L1" s="116" t="s">
        <v>118</v>
      </c>
      <c r="M1" s="116" t="s">
        <v>118</v>
      </c>
      <c r="N1" s="116" t="s">
        <v>119</v>
      </c>
      <c r="O1" s="116" t="s">
        <v>119</v>
      </c>
      <c r="P1" s="116" t="s">
        <v>120</v>
      </c>
      <c r="Q1" s="116" t="s">
        <v>120</v>
      </c>
    </row>
    <row r="2">
      <c r="A2" s="36"/>
      <c r="B2" s="143" t="s">
        <v>19</v>
      </c>
      <c r="C2" s="144" t="s">
        <v>20</v>
      </c>
      <c r="D2" s="143" t="s">
        <v>19</v>
      </c>
      <c r="E2" s="144" t="s">
        <v>20</v>
      </c>
      <c r="F2" s="143" t="s">
        <v>19</v>
      </c>
      <c r="G2" s="144" t="s">
        <v>20</v>
      </c>
      <c r="H2" s="143" t="s">
        <v>19</v>
      </c>
      <c r="I2" s="144" t="s">
        <v>20</v>
      </c>
      <c r="J2" s="143" t="s">
        <v>19</v>
      </c>
      <c r="K2" s="144" t="s">
        <v>20</v>
      </c>
      <c r="L2" s="143" t="s">
        <v>19</v>
      </c>
      <c r="M2" s="144" t="s">
        <v>20</v>
      </c>
      <c r="N2" s="143" t="s">
        <v>19</v>
      </c>
      <c r="O2" s="144" t="s">
        <v>20</v>
      </c>
      <c r="P2" s="143" t="s">
        <v>19</v>
      </c>
      <c r="Q2" s="144" t="s">
        <v>20</v>
      </c>
    </row>
    <row r="3">
      <c r="A3" s="146" t="s">
        <v>23</v>
      </c>
      <c r="B3" s="53">
        <v>414.0</v>
      </c>
      <c r="C3" s="48">
        <v>416.0</v>
      </c>
      <c r="D3" s="147">
        <v>0.86</v>
      </c>
      <c r="E3" s="148">
        <v>0.8677884615384616</v>
      </c>
      <c r="F3" s="147">
        <v>1.0</v>
      </c>
      <c r="G3" s="148">
        <v>1.0</v>
      </c>
      <c r="H3" s="147">
        <v>0.97</v>
      </c>
      <c r="I3" s="148">
        <v>0.9927884615384616</v>
      </c>
      <c r="J3" s="147">
        <v>0.98</v>
      </c>
      <c r="K3" s="148">
        <v>0.9951923076923077</v>
      </c>
      <c r="L3" s="147">
        <v>0.92</v>
      </c>
      <c r="M3" s="148">
        <v>0.9278846153846154</v>
      </c>
      <c r="N3" s="149">
        <v>0.57</v>
      </c>
      <c r="O3" s="52">
        <v>0.4735576923076923</v>
      </c>
      <c r="P3" s="52">
        <v>0.47342995169082125</v>
      </c>
      <c r="Q3" s="52">
        <v>0.6274038461538461</v>
      </c>
      <c r="S3" s="133"/>
    </row>
    <row r="4">
      <c r="A4" s="150" t="s">
        <v>24</v>
      </c>
      <c r="B4" s="53">
        <v>63621.0</v>
      </c>
      <c r="C4" s="48">
        <v>61948.0</v>
      </c>
      <c r="D4" s="147">
        <v>1.0</v>
      </c>
      <c r="E4" s="148">
        <v>0.9423387357138245</v>
      </c>
      <c r="F4" s="147">
        <v>0.77</v>
      </c>
      <c r="G4" s="148">
        <v>0.9911700135597598</v>
      </c>
      <c r="H4" s="147">
        <v>0.6</v>
      </c>
      <c r="I4" s="148">
        <v>0.8359753341512236</v>
      </c>
      <c r="J4" s="147">
        <v>0.68</v>
      </c>
      <c r="K4" s="148">
        <v>0.9568831923548783</v>
      </c>
      <c r="L4" s="147">
        <v>0.93</v>
      </c>
      <c r="M4" s="148">
        <v>0.979595790017434</v>
      </c>
      <c r="N4" s="149">
        <v>0.64</v>
      </c>
      <c r="O4" s="52">
        <v>0.7177955704784658</v>
      </c>
      <c r="P4" s="52">
        <v>0.3773282406752487</v>
      </c>
      <c r="Q4" s="52">
        <v>0.5376444760121392</v>
      </c>
      <c r="S4" s="133"/>
    </row>
    <row r="5" hidden="1">
      <c r="A5" s="150" t="s">
        <v>26</v>
      </c>
      <c r="B5" s="53">
        <v>3793.0</v>
      </c>
      <c r="C5" s="48">
        <v>3603.0</v>
      </c>
      <c r="D5" s="147">
        <v>0.68</v>
      </c>
      <c r="E5" s="148">
        <v>0.7194004995836802</v>
      </c>
      <c r="F5" s="147">
        <v>0.52</v>
      </c>
      <c r="G5" s="148">
        <v>0.6794338051623647</v>
      </c>
      <c r="H5" s="147">
        <v>0.64</v>
      </c>
      <c r="I5" s="148">
        <v>0.6724951429364419</v>
      </c>
      <c r="J5" s="147">
        <v>0.65</v>
      </c>
      <c r="K5" s="148">
        <v>0.6869275603663614</v>
      </c>
      <c r="L5" s="147">
        <v>0.4</v>
      </c>
      <c r="M5" s="148">
        <v>0.5378850957535387</v>
      </c>
      <c r="N5" s="149">
        <v>0.37</v>
      </c>
      <c r="O5" s="52">
        <v>0.3066888703857896</v>
      </c>
      <c r="P5" s="52">
        <v>0.20458739783812285</v>
      </c>
      <c r="Q5" s="52">
        <v>0.2453510963086317</v>
      </c>
      <c r="S5" s="133"/>
    </row>
    <row r="6" hidden="1">
      <c r="A6" s="150" t="s">
        <v>27</v>
      </c>
      <c r="B6" s="53">
        <v>66324.0</v>
      </c>
      <c r="C6" s="48">
        <v>60859.0</v>
      </c>
      <c r="D6" s="147">
        <v>0.8</v>
      </c>
      <c r="E6" s="148">
        <v>0.8173975911533217</v>
      </c>
      <c r="F6" s="147">
        <v>0.86</v>
      </c>
      <c r="G6" s="148">
        <v>0.9133571041259304</v>
      </c>
      <c r="H6" s="147">
        <v>0.66</v>
      </c>
      <c r="I6" s="148">
        <v>0.7649813503343794</v>
      </c>
      <c r="J6" s="147">
        <v>0.7</v>
      </c>
      <c r="K6" s="148">
        <v>0.8242002004633662</v>
      </c>
      <c r="L6" s="147">
        <v>0.3</v>
      </c>
      <c r="M6" s="148">
        <v>0.7506367176588508</v>
      </c>
      <c r="N6" s="149">
        <v>0.28</v>
      </c>
      <c r="O6" s="52">
        <v>0.28940666129906834</v>
      </c>
      <c r="P6" s="52">
        <v>0.5622549906519511</v>
      </c>
      <c r="Q6" s="52">
        <v>0.6932088926863734</v>
      </c>
      <c r="S6" s="133"/>
    </row>
    <row r="7">
      <c r="A7" s="150" t="s">
        <v>29</v>
      </c>
      <c r="B7" s="53">
        <v>89224.0</v>
      </c>
      <c r="C7" s="48">
        <v>93165.0</v>
      </c>
      <c r="D7" s="147">
        <v>0.84</v>
      </c>
      <c r="E7" s="148">
        <v>0.8617613910803413</v>
      </c>
      <c r="F7" s="147">
        <v>0.99</v>
      </c>
      <c r="G7" s="148">
        <v>0.9926045188643804</v>
      </c>
      <c r="H7" s="147">
        <v>0.96</v>
      </c>
      <c r="I7" s="148">
        <v>0.9553158374926206</v>
      </c>
      <c r="J7" s="147">
        <v>0.97</v>
      </c>
      <c r="K7" s="148">
        <v>0.974571995921215</v>
      </c>
      <c r="L7" s="147">
        <v>0.78</v>
      </c>
      <c r="M7" s="148">
        <v>0.8754789888906779</v>
      </c>
      <c r="N7" s="149">
        <v>0.6</v>
      </c>
      <c r="O7" s="52">
        <v>0.5881607899962432</v>
      </c>
      <c r="P7" s="52">
        <v>0.7025800233121133</v>
      </c>
      <c r="Q7" s="52">
        <v>0.7103418665807976</v>
      </c>
      <c r="S7" s="133"/>
    </row>
    <row r="8">
      <c r="A8" s="150" t="s">
        <v>31</v>
      </c>
      <c r="B8" s="64">
        <v>229.0</v>
      </c>
      <c r="C8" s="48">
        <v>233.0</v>
      </c>
      <c r="D8" s="147">
        <v>1.0</v>
      </c>
      <c r="E8" s="148">
        <v>1.0</v>
      </c>
      <c r="F8" s="147">
        <v>1.0</v>
      </c>
      <c r="G8" s="148">
        <v>1.0</v>
      </c>
      <c r="H8" s="147">
        <v>0.99</v>
      </c>
      <c r="I8" s="148">
        <v>0.9871244635193133</v>
      </c>
      <c r="J8" s="147">
        <v>1.0</v>
      </c>
      <c r="K8" s="148">
        <v>0.9957081545064378</v>
      </c>
      <c r="L8" s="147">
        <v>1.0</v>
      </c>
      <c r="M8" s="148">
        <v>1.0</v>
      </c>
      <c r="N8" s="149">
        <v>0.85</v>
      </c>
      <c r="O8" s="52">
        <v>0.8626609442060086</v>
      </c>
      <c r="P8" s="52">
        <v>0.7117903930131004</v>
      </c>
      <c r="Q8" s="52">
        <v>0.8755364806866953</v>
      </c>
      <c r="S8" s="133"/>
    </row>
    <row r="9">
      <c r="A9" s="150" t="s">
        <v>32</v>
      </c>
      <c r="B9" s="53">
        <v>56274.0</v>
      </c>
      <c r="C9" s="48">
        <v>56512.0</v>
      </c>
      <c r="D9" s="147">
        <v>0.91</v>
      </c>
      <c r="E9" s="148">
        <v>0.9558677802944507</v>
      </c>
      <c r="F9" s="147">
        <v>0.89</v>
      </c>
      <c r="G9" s="148">
        <v>0.9831363250283126</v>
      </c>
      <c r="H9" s="147">
        <v>0.73</v>
      </c>
      <c r="I9" s="148">
        <v>0.9196276896942243</v>
      </c>
      <c r="J9" s="147">
        <v>0.97</v>
      </c>
      <c r="K9" s="148">
        <v>0.9612825594563986</v>
      </c>
      <c r="L9" s="147">
        <v>0.81</v>
      </c>
      <c r="M9" s="148">
        <v>0.9140005662514157</v>
      </c>
      <c r="N9" s="147">
        <v>0.67</v>
      </c>
      <c r="O9" s="148">
        <v>0.5972005945639864</v>
      </c>
      <c r="P9" s="52">
        <v>0.634289369868856</v>
      </c>
      <c r="Q9" s="52">
        <v>0.8348138448471121</v>
      </c>
      <c r="S9" s="133"/>
    </row>
    <row r="10">
      <c r="A10" s="150" t="s">
        <v>34</v>
      </c>
      <c r="B10" s="53">
        <v>486.0</v>
      </c>
      <c r="C10" s="48">
        <v>460.0</v>
      </c>
      <c r="D10" s="151" t="s">
        <v>121</v>
      </c>
      <c r="E10" s="148">
        <v>0.9717391304347827</v>
      </c>
      <c r="F10" s="151" t="s">
        <v>122</v>
      </c>
      <c r="G10" s="148">
        <v>1.0</v>
      </c>
      <c r="H10" s="151" t="s">
        <v>123</v>
      </c>
      <c r="I10" s="148">
        <v>0.991304347826087</v>
      </c>
      <c r="J10" s="151" t="s">
        <v>124</v>
      </c>
      <c r="K10" s="148">
        <v>0.9891304347826086</v>
      </c>
      <c r="L10" s="151" t="s">
        <v>125</v>
      </c>
      <c r="M10" s="148">
        <v>1.0</v>
      </c>
      <c r="N10" s="151" t="s">
        <v>126</v>
      </c>
      <c r="O10" s="52">
        <v>0.6326086956521739</v>
      </c>
      <c r="P10" s="52">
        <v>0.8209876543209876</v>
      </c>
      <c r="Q10" s="52">
        <v>0.9282608695652174</v>
      </c>
      <c r="S10" s="133"/>
    </row>
    <row r="11">
      <c r="A11" s="150" t="s">
        <v>39</v>
      </c>
      <c r="B11" s="53">
        <v>5703.0</v>
      </c>
      <c r="C11" s="48">
        <v>5619.0</v>
      </c>
      <c r="D11" s="147">
        <v>1.0</v>
      </c>
      <c r="E11" s="148">
        <v>1.0</v>
      </c>
      <c r="F11" s="147">
        <v>1.0</v>
      </c>
      <c r="G11" s="148">
        <v>1.0</v>
      </c>
      <c r="H11" s="147">
        <v>0.87</v>
      </c>
      <c r="I11" s="148">
        <v>0.8864566648869906</v>
      </c>
      <c r="J11" s="147">
        <v>0.83</v>
      </c>
      <c r="K11" s="148">
        <v>0.8352019932372309</v>
      </c>
      <c r="L11" s="147">
        <v>1.0</v>
      </c>
      <c r="M11" s="148">
        <v>1.0</v>
      </c>
      <c r="N11" s="149">
        <v>0.88</v>
      </c>
      <c r="O11" s="52">
        <v>0.8754226730735006</v>
      </c>
      <c r="P11" s="52">
        <v>0.7434683499912327</v>
      </c>
      <c r="Q11" s="52">
        <v>1.0</v>
      </c>
      <c r="S11" s="133"/>
    </row>
    <row r="12">
      <c r="A12" s="150" t="s">
        <v>41</v>
      </c>
      <c r="B12" s="53">
        <v>1486.0</v>
      </c>
      <c r="C12" s="48">
        <v>1510.0</v>
      </c>
      <c r="D12" s="147">
        <v>1.0</v>
      </c>
      <c r="E12" s="148">
        <v>0.9973509933774835</v>
      </c>
      <c r="F12" s="147">
        <v>1.0</v>
      </c>
      <c r="G12" s="148">
        <v>1.0</v>
      </c>
      <c r="H12" s="147">
        <v>0.99</v>
      </c>
      <c r="I12" s="148">
        <v>0.990728476821192</v>
      </c>
      <c r="J12" s="147">
        <v>0.99</v>
      </c>
      <c r="K12" s="148">
        <v>0.9920529801324504</v>
      </c>
      <c r="L12" s="147">
        <v>1.0</v>
      </c>
      <c r="M12" s="148">
        <v>1.0</v>
      </c>
      <c r="N12" s="149">
        <v>0.87</v>
      </c>
      <c r="O12" s="52">
        <v>0.8509933774834437</v>
      </c>
      <c r="P12" s="52">
        <v>0.5390309555854643</v>
      </c>
      <c r="Q12" s="52">
        <v>0.6072847682119206</v>
      </c>
      <c r="S12" s="133"/>
    </row>
    <row r="13">
      <c r="A13" s="150" t="s">
        <v>42</v>
      </c>
      <c r="B13" s="53">
        <v>54581.0</v>
      </c>
      <c r="C13" s="48">
        <v>53851.0</v>
      </c>
      <c r="D13" s="147">
        <v>0.98</v>
      </c>
      <c r="E13" s="148">
        <v>0.9754693506155875</v>
      </c>
      <c r="F13" s="147">
        <v>1.0</v>
      </c>
      <c r="G13" s="148">
        <v>0.999312918980149</v>
      </c>
      <c r="H13" s="147">
        <v>0.96</v>
      </c>
      <c r="I13" s="148">
        <v>0.9409110322928079</v>
      </c>
      <c r="J13" s="147">
        <v>0.97</v>
      </c>
      <c r="K13" s="148">
        <v>0.9573638372546471</v>
      </c>
      <c r="L13" s="147">
        <v>1.0</v>
      </c>
      <c r="M13" s="148">
        <v>0.9995728955822547</v>
      </c>
      <c r="N13" s="149">
        <v>0.76</v>
      </c>
      <c r="O13" s="52">
        <v>0.7449443835769066</v>
      </c>
      <c r="P13" s="52">
        <v>0.8085047910445027</v>
      </c>
      <c r="Q13" s="52">
        <v>0.8194091103229281</v>
      </c>
      <c r="S13" s="133"/>
    </row>
    <row r="14">
      <c r="A14" s="150" t="s">
        <v>44</v>
      </c>
      <c r="B14" s="53">
        <v>23534.0</v>
      </c>
      <c r="C14" s="48">
        <v>23726.0</v>
      </c>
      <c r="D14" s="147">
        <v>0.98</v>
      </c>
      <c r="E14" s="148">
        <v>0.9922447947399478</v>
      </c>
      <c r="F14" s="147">
        <v>1.0</v>
      </c>
      <c r="G14" s="148">
        <v>0.9949001095844221</v>
      </c>
      <c r="H14" s="147">
        <v>0.92</v>
      </c>
      <c r="I14" s="148">
        <v>0.9280114642164714</v>
      </c>
      <c r="J14" s="147">
        <v>0.95</v>
      </c>
      <c r="K14" s="148">
        <v>0.9533001770209897</v>
      </c>
      <c r="L14" s="147">
        <v>0.98</v>
      </c>
      <c r="M14" s="148">
        <v>0.9782095591334401</v>
      </c>
      <c r="N14" s="149">
        <v>0.76</v>
      </c>
      <c r="O14" s="52">
        <v>0.7291157380089354</v>
      </c>
      <c r="P14" s="52">
        <v>0.6304070706212289</v>
      </c>
      <c r="Q14" s="52">
        <v>0.7264604231644609</v>
      </c>
      <c r="S14" s="133"/>
    </row>
    <row r="15">
      <c r="A15" s="150" t="s">
        <v>46</v>
      </c>
      <c r="B15" s="53">
        <v>18212.0</v>
      </c>
      <c r="C15" s="48">
        <v>18028.0</v>
      </c>
      <c r="D15" s="147">
        <v>0.85</v>
      </c>
      <c r="E15" s="148">
        <v>0.8797426225870868</v>
      </c>
      <c r="F15" s="147">
        <v>1.0</v>
      </c>
      <c r="G15" s="148">
        <v>0.9982249833592189</v>
      </c>
      <c r="H15" s="147">
        <v>0.96</v>
      </c>
      <c r="I15" s="148">
        <v>0.9758153982693588</v>
      </c>
      <c r="J15" s="147">
        <v>0.97</v>
      </c>
      <c r="K15" s="148">
        <v>0.9840803195029953</v>
      </c>
      <c r="L15" s="147">
        <v>0.95</v>
      </c>
      <c r="M15" s="148">
        <v>0.9778122919902374</v>
      </c>
      <c r="N15" s="149">
        <v>0.58</v>
      </c>
      <c r="O15" s="52">
        <v>0.5825937430663413</v>
      </c>
      <c r="P15" s="52">
        <v>0.6729079727652097</v>
      </c>
      <c r="Q15" s="52">
        <v>0.7758486798313734</v>
      </c>
      <c r="S15" s="133"/>
    </row>
    <row r="16">
      <c r="A16" s="150" t="s">
        <v>48</v>
      </c>
      <c r="B16" s="53">
        <v>29708.0</v>
      </c>
      <c r="C16" s="48">
        <v>28805.0</v>
      </c>
      <c r="D16" s="147">
        <v>0.8</v>
      </c>
      <c r="E16" s="148">
        <v>0.7909737892726957</v>
      </c>
      <c r="F16" s="147">
        <v>0.94</v>
      </c>
      <c r="G16" s="148">
        <v>0.9530637042180177</v>
      </c>
      <c r="H16" s="147">
        <v>0.81</v>
      </c>
      <c r="I16" s="148">
        <v>0.7876410345426141</v>
      </c>
      <c r="J16" s="147">
        <v>0.83</v>
      </c>
      <c r="K16" s="148">
        <v>0.8237458774518313</v>
      </c>
      <c r="L16" s="147">
        <v>0.64</v>
      </c>
      <c r="M16" s="148">
        <v>0.7294219753515014</v>
      </c>
      <c r="N16" s="149">
        <v>0.54</v>
      </c>
      <c r="O16" s="52">
        <v>0.4914077417115084</v>
      </c>
      <c r="P16" s="52">
        <v>0.34064898343880434</v>
      </c>
      <c r="Q16" s="52">
        <v>0.3934733553202569</v>
      </c>
      <c r="S16" s="133"/>
    </row>
    <row r="17">
      <c r="A17" s="150" t="s">
        <v>50</v>
      </c>
      <c r="B17" s="53">
        <v>45908.0</v>
      </c>
      <c r="C17" s="48">
        <v>44855.0</v>
      </c>
      <c r="D17" s="147">
        <v>0.66</v>
      </c>
      <c r="E17" s="148">
        <v>0.7602719875153272</v>
      </c>
      <c r="F17" s="147">
        <v>0.91</v>
      </c>
      <c r="G17" s="148">
        <v>0.9587559915282577</v>
      </c>
      <c r="H17" s="147">
        <v>0.93</v>
      </c>
      <c r="I17" s="148">
        <v>0.9443094415338312</v>
      </c>
      <c r="J17" s="147">
        <v>0.95</v>
      </c>
      <c r="K17" s="148">
        <v>0.9650429160628693</v>
      </c>
      <c r="L17" s="147">
        <v>0.73</v>
      </c>
      <c r="M17" s="148">
        <v>0.9209229740274217</v>
      </c>
      <c r="N17" s="149">
        <v>0.73</v>
      </c>
      <c r="O17" s="52">
        <v>0.6531267417233307</v>
      </c>
      <c r="P17" s="52">
        <v>0.6224187505445674</v>
      </c>
      <c r="Q17" s="52">
        <v>0.6421357708170773</v>
      </c>
      <c r="S17" s="133"/>
    </row>
    <row r="18">
      <c r="A18" s="150" t="s">
        <v>52</v>
      </c>
      <c r="B18" s="53">
        <v>78233.0</v>
      </c>
      <c r="C18" s="48">
        <v>76450.0</v>
      </c>
      <c r="D18" s="147">
        <v>0.99</v>
      </c>
      <c r="E18" s="148">
        <v>0.8347547416612164</v>
      </c>
      <c r="F18" s="147">
        <v>0.99</v>
      </c>
      <c r="G18" s="148">
        <v>0.9803793328973185</v>
      </c>
      <c r="H18" s="147">
        <v>0.88</v>
      </c>
      <c r="I18" s="148">
        <v>0.9339829954218444</v>
      </c>
      <c r="J18" s="147">
        <v>0.91</v>
      </c>
      <c r="K18" s="148">
        <v>0.9725179856115108</v>
      </c>
      <c r="L18" s="147">
        <v>0.89</v>
      </c>
      <c r="M18" s="148">
        <v>0.9858731196860693</v>
      </c>
      <c r="N18" s="149">
        <v>0.63</v>
      </c>
      <c r="O18" s="52">
        <v>0.695461085676913</v>
      </c>
      <c r="P18" s="52">
        <v>0.47707489166975575</v>
      </c>
      <c r="Q18" s="52">
        <v>0.7041726618705036</v>
      </c>
      <c r="S18" s="133"/>
    </row>
    <row r="19">
      <c r="A19" s="150" t="s">
        <v>54</v>
      </c>
      <c r="B19" s="53">
        <v>16701.0</v>
      </c>
      <c r="C19" s="48">
        <v>16240.0</v>
      </c>
      <c r="D19" s="147">
        <v>0.97</v>
      </c>
      <c r="E19" s="148">
        <v>0.9865147783251231</v>
      </c>
      <c r="F19" s="147">
        <v>0.99</v>
      </c>
      <c r="G19" s="148">
        <v>0.996551724137931</v>
      </c>
      <c r="H19" s="147">
        <v>0.97</v>
      </c>
      <c r="I19" s="148">
        <v>0.9767857142857143</v>
      </c>
      <c r="J19" s="147">
        <v>0.98</v>
      </c>
      <c r="K19" s="148">
        <v>0.9903940886699507</v>
      </c>
      <c r="L19" s="147">
        <v>0.99</v>
      </c>
      <c r="M19" s="148">
        <v>0.9951970443349754</v>
      </c>
      <c r="N19" s="149">
        <v>0.71</v>
      </c>
      <c r="O19" s="52">
        <v>0.7297413793103448</v>
      </c>
      <c r="P19" s="52">
        <v>0.675648164780552</v>
      </c>
      <c r="Q19" s="52">
        <v>0.7804802955665024</v>
      </c>
      <c r="S19" s="133"/>
    </row>
    <row r="20">
      <c r="A20" s="150" t="s">
        <v>56</v>
      </c>
      <c r="B20" s="68"/>
      <c r="C20" s="48">
        <v>978.0</v>
      </c>
      <c r="D20" s="147"/>
      <c r="E20" s="148">
        <v>0.8844580777096115</v>
      </c>
      <c r="F20" s="148"/>
      <c r="G20" s="148">
        <v>0.9171779141104295</v>
      </c>
      <c r="H20" s="148"/>
      <c r="I20" s="148">
        <v>0.9294478527607362</v>
      </c>
      <c r="J20" s="148"/>
      <c r="K20" s="148">
        <v>0.8987730061349694</v>
      </c>
      <c r="L20" s="148"/>
      <c r="M20" s="148">
        <v>0.9222903885480572</v>
      </c>
      <c r="N20" s="52"/>
      <c r="O20" s="52">
        <v>0.3312883435582822</v>
      </c>
      <c r="P20" s="152" t="s">
        <v>127</v>
      </c>
      <c r="Q20" s="52">
        <v>0.787321063394683</v>
      </c>
    </row>
    <row r="21">
      <c r="A21" s="150" t="s">
        <v>57</v>
      </c>
      <c r="B21" s="53">
        <v>45.0</v>
      </c>
      <c r="C21" s="48">
        <v>38.0</v>
      </c>
      <c r="D21" s="147">
        <v>0.91</v>
      </c>
      <c r="E21" s="148">
        <v>0.9210526315789473</v>
      </c>
      <c r="F21" s="147">
        <v>1.0</v>
      </c>
      <c r="G21" s="148">
        <v>1.0</v>
      </c>
      <c r="H21" s="147">
        <v>0.98</v>
      </c>
      <c r="I21" s="148">
        <v>1.0</v>
      </c>
      <c r="J21" s="147">
        <v>1.0</v>
      </c>
      <c r="K21" s="148">
        <v>1.0</v>
      </c>
      <c r="L21" s="147">
        <v>1.0</v>
      </c>
      <c r="M21" s="148">
        <v>1.0</v>
      </c>
      <c r="N21" s="149">
        <v>0.91</v>
      </c>
      <c r="O21" s="52">
        <v>0.8947368421052632</v>
      </c>
      <c r="P21" s="52">
        <v>0.9111111111111111</v>
      </c>
      <c r="Q21" s="52">
        <v>0.9473684210526315</v>
      </c>
      <c r="S21" s="133"/>
    </row>
    <row r="22">
      <c r="A22" s="150" t="s">
        <v>58</v>
      </c>
      <c r="B22" s="53">
        <v>154064.0</v>
      </c>
      <c r="C22" s="48">
        <v>125582.0</v>
      </c>
      <c r="D22" s="147">
        <v>0.9</v>
      </c>
      <c r="E22" s="148">
        <v>0.905830453408928</v>
      </c>
      <c r="F22" s="147">
        <v>0.89</v>
      </c>
      <c r="G22" s="148">
        <v>0.9414884298705228</v>
      </c>
      <c r="H22" s="147">
        <v>0.92</v>
      </c>
      <c r="I22" s="148">
        <v>0.9278797916898919</v>
      </c>
      <c r="J22" s="147">
        <v>0.94</v>
      </c>
      <c r="K22" s="148">
        <v>0.9478428437196413</v>
      </c>
      <c r="L22" s="147">
        <v>0.55</v>
      </c>
      <c r="M22" s="148">
        <v>0.7484432482362122</v>
      </c>
      <c r="N22" s="149">
        <v>0.68</v>
      </c>
      <c r="O22" s="52">
        <v>0.6644184676147855</v>
      </c>
      <c r="P22" s="52">
        <v>0.7425810052965002</v>
      </c>
      <c r="Q22" s="52">
        <v>0.8028539121848672</v>
      </c>
      <c r="S22" s="133"/>
    </row>
    <row r="23">
      <c r="A23" s="150" t="s">
        <v>60</v>
      </c>
      <c r="B23" s="53">
        <v>109942.0</v>
      </c>
      <c r="C23" s="48">
        <v>109605.0</v>
      </c>
      <c r="D23" s="147">
        <v>0.98</v>
      </c>
      <c r="E23" s="148">
        <v>0.9734866110122713</v>
      </c>
      <c r="F23" s="147">
        <v>0.97</v>
      </c>
      <c r="G23" s="148">
        <v>0.9799735413530405</v>
      </c>
      <c r="H23" s="147">
        <v>0.89</v>
      </c>
      <c r="I23" s="148">
        <v>0.909356324985174</v>
      </c>
      <c r="J23" s="147">
        <v>0.92</v>
      </c>
      <c r="K23" s="148">
        <v>0.9370284202363031</v>
      </c>
      <c r="L23" s="147">
        <v>0.87</v>
      </c>
      <c r="M23" s="148">
        <v>0.8555357876009306</v>
      </c>
      <c r="N23" s="149">
        <v>0.71</v>
      </c>
      <c r="O23" s="52">
        <v>0.7287623739792892</v>
      </c>
      <c r="P23" s="52">
        <v>0.8882774553855669</v>
      </c>
      <c r="Q23" s="52">
        <v>0.9273025865608321</v>
      </c>
      <c r="S23" s="133"/>
    </row>
    <row r="24" hidden="1">
      <c r="A24" s="150" t="s">
        <v>62</v>
      </c>
      <c r="B24" s="53">
        <v>4844.0</v>
      </c>
      <c r="C24" s="48">
        <v>4617.0</v>
      </c>
      <c r="D24" s="147">
        <v>0.86</v>
      </c>
      <c r="E24" s="148">
        <v>0.8674463937621832</v>
      </c>
      <c r="F24" s="147">
        <v>0.86</v>
      </c>
      <c r="G24" s="148">
        <v>0.9835390946502057</v>
      </c>
      <c r="H24" s="147">
        <v>0.67</v>
      </c>
      <c r="I24" s="148">
        <v>0.7478882391163093</v>
      </c>
      <c r="J24" s="147">
        <v>0.68</v>
      </c>
      <c r="K24" s="148">
        <v>0.752653238033355</v>
      </c>
      <c r="L24" s="147">
        <v>0.48</v>
      </c>
      <c r="M24" s="148">
        <v>0.5449426034221356</v>
      </c>
      <c r="N24" s="149">
        <v>0.4</v>
      </c>
      <c r="O24" s="52">
        <v>0.39852718215291316</v>
      </c>
      <c r="P24" s="52">
        <v>0.47811725846407926</v>
      </c>
      <c r="Q24" s="52">
        <v>0.49620965995235</v>
      </c>
      <c r="S24" s="133"/>
    </row>
    <row r="25" hidden="1">
      <c r="A25" s="150" t="s">
        <v>63</v>
      </c>
      <c r="B25" s="53">
        <v>14669.0</v>
      </c>
      <c r="C25" s="48">
        <v>14600.0</v>
      </c>
      <c r="D25" s="147">
        <v>0.61</v>
      </c>
      <c r="E25" s="148">
        <v>0.6328767123287671</v>
      </c>
      <c r="F25" s="147">
        <v>0.34</v>
      </c>
      <c r="G25" s="148">
        <v>0.4602739726027397</v>
      </c>
      <c r="H25" s="147">
        <v>0.63</v>
      </c>
      <c r="I25" s="148">
        <v>0.7306849315068493</v>
      </c>
      <c r="J25" s="147">
        <v>0.59</v>
      </c>
      <c r="K25" s="148">
        <v>0.6960958904109589</v>
      </c>
      <c r="L25" s="147">
        <v>0.19</v>
      </c>
      <c r="M25" s="148">
        <v>0.24664383561643835</v>
      </c>
      <c r="N25" s="149">
        <v>0.42</v>
      </c>
      <c r="O25" s="52">
        <v>0.33821917808219176</v>
      </c>
      <c r="P25" s="52">
        <v>0.208125979957734</v>
      </c>
      <c r="Q25" s="52">
        <v>0.30383561643835616</v>
      </c>
      <c r="S25" s="133"/>
    </row>
    <row r="26" hidden="1">
      <c r="A26" s="150" t="s">
        <v>64</v>
      </c>
      <c r="B26" s="53">
        <v>3913.0</v>
      </c>
      <c r="C26" s="48">
        <v>3911.0</v>
      </c>
      <c r="D26" s="147">
        <v>0.94</v>
      </c>
      <c r="E26" s="148">
        <v>0.9301968805931987</v>
      </c>
      <c r="F26" s="147">
        <v>0.93</v>
      </c>
      <c r="G26" s="148">
        <v>0.9020710815648172</v>
      </c>
      <c r="H26" s="147">
        <v>0.81</v>
      </c>
      <c r="I26" s="148">
        <v>0.8698542572232165</v>
      </c>
      <c r="J26" s="147">
        <v>0.81</v>
      </c>
      <c r="K26" s="148">
        <v>0.8683201227307594</v>
      </c>
      <c r="L26" s="147">
        <v>0.74</v>
      </c>
      <c r="M26" s="148">
        <v>0.7962158015852723</v>
      </c>
      <c r="N26" s="149">
        <v>0.42</v>
      </c>
      <c r="O26" s="52">
        <v>0.39682945538225517</v>
      </c>
      <c r="P26" s="52">
        <v>0.44339381548683876</v>
      </c>
      <c r="Q26" s="52">
        <v>0.44285349015597036</v>
      </c>
      <c r="S26" s="133"/>
    </row>
    <row r="27" hidden="1">
      <c r="A27" s="150" t="s">
        <v>65</v>
      </c>
      <c r="B27" s="53">
        <v>2752.0</v>
      </c>
      <c r="C27" s="48">
        <v>2718.0</v>
      </c>
      <c r="D27" s="147">
        <v>0.82</v>
      </c>
      <c r="E27" s="148">
        <v>0.826710816777042</v>
      </c>
      <c r="F27" s="147">
        <v>0.59</v>
      </c>
      <c r="G27" s="148">
        <v>0.6055923473142016</v>
      </c>
      <c r="H27" s="147">
        <v>0.88</v>
      </c>
      <c r="I27" s="148">
        <v>0.7619573215599705</v>
      </c>
      <c r="J27" s="147">
        <v>0.88</v>
      </c>
      <c r="K27" s="148">
        <v>0.7707873436350258</v>
      </c>
      <c r="L27" s="147">
        <v>0.63</v>
      </c>
      <c r="M27" s="148">
        <v>0.6710816777041942</v>
      </c>
      <c r="N27" s="149">
        <v>0.57</v>
      </c>
      <c r="O27" s="52">
        <v>0.351729212656365</v>
      </c>
      <c r="P27" s="52">
        <v>0.34992732558139533</v>
      </c>
      <c r="Q27" s="52">
        <v>0.37858719646799116</v>
      </c>
      <c r="S27" s="133"/>
    </row>
    <row r="28">
      <c r="A28" s="150" t="s">
        <v>66</v>
      </c>
      <c r="B28" s="53">
        <v>68717.0</v>
      </c>
      <c r="C28" s="48">
        <v>62291.0</v>
      </c>
      <c r="D28" s="147">
        <v>0.92</v>
      </c>
      <c r="E28" s="148">
        <v>0.9733829927276814</v>
      </c>
      <c r="F28" s="147">
        <v>0.99</v>
      </c>
      <c r="G28" s="148">
        <v>0.970108041290074</v>
      </c>
      <c r="H28" s="147">
        <v>0.9</v>
      </c>
      <c r="I28" s="148">
        <v>0.8763866369138399</v>
      </c>
      <c r="J28" s="147">
        <v>0.93</v>
      </c>
      <c r="K28" s="148">
        <v>0.9012698463662487</v>
      </c>
      <c r="L28" s="147">
        <v>0.38</v>
      </c>
      <c r="M28" s="148">
        <v>0.7665152269188166</v>
      </c>
      <c r="N28" s="149">
        <v>0.9</v>
      </c>
      <c r="O28" s="52">
        <v>0.5868584546724246</v>
      </c>
      <c r="P28" s="52">
        <v>0.6972219392581166</v>
      </c>
      <c r="Q28" s="52">
        <v>0.80473904737442</v>
      </c>
      <c r="S28" s="133"/>
    </row>
    <row r="29">
      <c r="A29" s="150" t="s">
        <v>68</v>
      </c>
      <c r="B29" s="53">
        <v>739.0</v>
      </c>
      <c r="C29" s="48">
        <v>736.0</v>
      </c>
      <c r="D29" s="147">
        <v>0.99</v>
      </c>
      <c r="E29" s="148">
        <v>0.9945652173913043</v>
      </c>
      <c r="F29" s="147">
        <v>1.0</v>
      </c>
      <c r="G29" s="148">
        <v>1.0</v>
      </c>
      <c r="H29" s="147">
        <v>0.95</v>
      </c>
      <c r="I29" s="148">
        <v>0.9551630434782609</v>
      </c>
      <c r="J29" s="147">
        <v>0.95</v>
      </c>
      <c r="K29" s="148">
        <v>0.9646739130434783</v>
      </c>
      <c r="L29" s="147">
        <v>1.0</v>
      </c>
      <c r="M29" s="148">
        <v>1.0</v>
      </c>
      <c r="N29" s="149">
        <v>0.9</v>
      </c>
      <c r="O29" s="52">
        <v>0.8220108695652174</v>
      </c>
      <c r="P29" s="52">
        <v>0.631935047361299</v>
      </c>
      <c r="Q29" s="52">
        <v>0.6535326086956522</v>
      </c>
      <c r="S29" s="133"/>
    </row>
    <row r="30">
      <c r="A30" s="150" t="s">
        <v>69</v>
      </c>
      <c r="B30" s="53">
        <v>28637.0</v>
      </c>
      <c r="C30" s="48">
        <v>27701.0</v>
      </c>
      <c r="D30" s="147">
        <v>0.97</v>
      </c>
      <c r="E30" s="148">
        <v>0.9975452149741887</v>
      </c>
      <c r="F30" s="153">
        <v>1.0</v>
      </c>
      <c r="G30" s="118">
        <v>0.9997473015414606</v>
      </c>
      <c r="H30" s="147">
        <v>0.9</v>
      </c>
      <c r="I30" s="148">
        <v>0.9681599942240352</v>
      </c>
      <c r="J30" s="147">
        <v>0.93</v>
      </c>
      <c r="K30" s="148">
        <v>0.986318183459081</v>
      </c>
      <c r="L30" s="147">
        <v>1.0</v>
      </c>
      <c r="M30" s="148">
        <v>0.999783401321252</v>
      </c>
      <c r="N30" s="149">
        <v>0.68</v>
      </c>
      <c r="O30" s="52">
        <v>0.713006750658821</v>
      </c>
      <c r="P30" s="52">
        <v>0.6248559555819394</v>
      </c>
      <c r="Q30" s="52">
        <v>0.897043428035089</v>
      </c>
      <c r="S30" s="133"/>
    </row>
    <row r="31">
      <c r="A31" s="150" t="s">
        <v>71</v>
      </c>
      <c r="B31" s="53">
        <v>105883.0</v>
      </c>
      <c r="C31" s="48">
        <v>106373.0</v>
      </c>
      <c r="D31" s="147">
        <v>0.83</v>
      </c>
      <c r="E31" s="148">
        <v>0.8735957432807198</v>
      </c>
      <c r="F31" s="147">
        <v>0.87</v>
      </c>
      <c r="G31" s="148">
        <v>0.9247647429328871</v>
      </c>
      <c r="H31" s="147">
        <v>0.78</v>
      </c>
      <c r="I31" s="148">
        <v>0.8966185028155641</v>
      </c>
      <c r="J31" s="147">
        <v>0.82</v>
      </c>
      <c r="K31" s="148">
        <v>0.9258458443401991</v>
      </c>
      <c r="L31" s="147">
        <v>0.71</v>
      </c>
      <c r="M31" s="148">
        <v>0.8669399189643988</v>
      </c>
      <c r="N31" s="149">
        <v>0.67</v>
      </c>
      <c r="O31" s="52">
        <v>0.6367969315521796</v>
      </c>
      <c r="P31" s="52">
        <v>0.5639337759602581</v>
      </c>
      <c r="Q31" s="52">
        <v>0.6529758491346488</v>
      </c>
      <c r="S31" s="133"/>
    </row>
    <row r="32" hidden="1">
      <c r="A32" s="150" t="s">
        <v>73</v>
      </c>
      <c r="B32" s="53">
        <v>1290.0</v>
      </c>
      <c r="C32" s="48">
        <v>1259.0</v>
      </c>
      <c r="D32" s="147">
        <v>0.84</v>
      </c>
      <c r="E32" s="148">
        <v>0.8459094519459889</v>
      </c>
      <c r="F32" s="147">
        <v>1.0</v>
      </c>
      <c r="G32" s="148">
        <v>0.9928514694201748</v>
      </c>
      <c r="H32" s="147">
        <v>0.98</v>
      </c>
      <c r="I32" s="148">
        <v>0.9849086576648134</v>
      </c>
      <c r="J32" s="147">
        <v>0.93</v>
      </c>
      <c r="K32" s="148">
        <v>0.9213661636219221</v>
      </c>
      <c r="L32" s="147">
        <v>0.98</v>
      </c>
      <c r="M32" s="148">
        <v>0.9841143764892772</v>
      </c>
      <c r="N32" s="149">
        <v>0.5</v>
      </c>
      <c r="O32" s="52">
        <v>0.4511517077045274</v>
      </c>
      <c r="P32" s="52">
        <v>0.17829457364341086</v>
      </c>
      <c r="Q32" s="52">
        <v>0.2907069102462272</v>
      </c>
      <c r="S32" s="133"/>
    </row>
    <row r="33">
      <c r="A33" s="150" t="s">
        <v>74</v>
      </c>
      <c r="B33" s="53">
        <v>59152.0</v>
      </c>
      <c r="C33" s="48">
        <v>58801.0</v>
      </c>
      <c r="D33" s="148"/>
      <c r="E33" s="148">
        <v>0.6946310436897332</v>
      </c>
      <c r="F33" s="147">
        <v>0.94</v>
      </c>
      <c r="G33" s="148">
        <v>1.0</v>
      </c>
      <c r="H33" s="147">
        <v>0.93</v>
      </c>
      <c r="I33" s="148">
        <v>0.9801023792112379</v>
      </c>
      <c r="J33" s="147">
        <v>0.97</v>
      </c>
      <c r="K33" s="148">
        <v>0.987738303770344</v>
      </c>
      <c r="L33" s="147">
        <v>1.0</v>
      </c>
      <c r="M33" s="148">
        <v>1.0</v>
      </c>
      <c r="N33" s="149">
        <v>0.79</v>
      </c>
      <c r="O33" s="52">
        <v>0.6947330827707012</v>
      </c>
      <c r="P33" s="52">
        <v>0.6286008926156343</v>
      </c>
      <c r="Q33" s="52">
        <v>0.7401234672879713</v>
      </c>
      <c r="S33" s="133"/>
    </row>
    <row r="34">
      <c r="A34" s="150" t="s">
        <v>76</v>
      </c>
      <c r="B34" s="53">
        <v>42355.0</v>
      </c>
      <c r="C34" s="48">
        <v>43083.0</v>
      </c>
      <c r="D34" s="147">
        <v>0.93</v>
      </c>
      <c r="E34" s="148">
        <v>0.9273495346192233</v>
      </c>
      <c r="F34" s="147">
        <v>0.89</v>
      </c>
      <c r="G34" s="148">
        <v>0.8639370517373441</v>
      </c>
      <c r="H34" s="147">
        <v>0.85</v>
      </c>
      <c r="I34" s="148">
        <v>0.6762992363577282</v>
      </c>
      <c r="J34" s="147">
        <v>0.92</v>
      </c>
      <c r="K34" s="148">
        <v>0.775897685862173</v>
      </c>
      <c r="L34" s="147">
        <v>0.89</v>
      </c>
      <c r="M34" s="148">
        <v>0.9033725599424367</v>
      </c>
      <c r="N34" s="149">
        <v>0.7</v>
      </c>
      <c r="O34" s="52">
        <v>0.6262330849755123</v>
      </c>
      <c r="P34" s="52">
        <v>0.3865187108959981</v>
      </c>
      <c r="Q34" s="52">
        <v>0.7518742891627789</v>
      </c>
      <c r="S34" s="133"/>
    </row>
    <row r="35" hidden="1">
      <c r="A35" s="150" t="s">
        <v>78</v>
      </c>
      <c r="B35" s="53">
        <v>4945.0</v>
      </c>
      <c r="C35" s="48">
        <v>4929.0</v>
      </c>
      <c r="D35" s="147">
        <v>0.84</v>
      </c>
      <c r="E35" s="148">
        <v>0.8437817001420166</v>
      </c>
      <c r="F35" s="147">
        <v>0.73</v>
      </c>
      <c r="G35" s="148">
        <v>0.7549198620409819</v>
      </c>
      <c r="H35" s="147">
        <v>0.74</v>
      </c>
      <c r="I35" s="148">
        <v>0.7244877257050112</v>
      </c>
      <c r="J35" s="147">
        <v>0.76</v>
      </c>
      <c r="K35" s="148">
        <v>0.7447758165956584</v>
      </c>
      <c r="L35" s="147">
        <v>0.34</v>
      </c>
      <c r="M35" s="148">
        <v>0.5498072631365388</v>
      </c>
      <c r="N35" s="149">
        <v>0.37</v>
      </c>
      <c r="O35" s="52">
        <v>0.32014607425441266</v>
      </c>
      <c r="P35" s="52">
        <v>0.5053589484327604</v>
      </c>
      <c r="Q35" s="52">
        <v>0.6299452221545953</v>
      </c>
      <c r="S35" s="133"/>
    </row>
    <row r="36">
      <c r="A36" s="150" t="s">
        <v>79</v>
      </c>
      <c r="B36" s="53">
        <v>273235.0</v>
      </c>
      <c r="C36" s="48">
        <v>258054.0</v>
      </c>
      <c r="D36" s="147">
        <v>0.92</v>
      </c>
      <c r="E36" s="148">
        <v>0.9209041518441876</v>
      </c>
      <c r="F36" s="147">
        <v>0.9</v>
      </c>
      <c r="G36" s="148">
        <v>0.965855983631333</v>
      </c>
      <c r="H36" s="147">
        <v>0.91</v>
      </c>
      <c r="I36" s="148">
        <v>0.9511226332473048</v>
      </c>
      <c r="J36" s="147">
        <v>0.92</v>
      </c>
      <c r="K36" s="148">
        <v>0.9673401691118914</v>
      </c>
      <c r="L36" s="147">
        <v>0.66</v>
      </c>
      <c r="M36" s="148">
        <v>0.8132251389244112</v>
      </c>
      <c r="N36" s="149">
        <v>0.71</v>
      </c>
      <c r="O36" s="52">
        <v>0.6845660210653585</v>
      </c>
      <c r="P36" s="52">
        <v>0.6621918861053672</v>
      </c>
      <c r="Q36" s="52">
        <v>0.6445278895114976</v>
      </c>
      <c r="S36" s="133"/>
    </row>
    <row r="37">
      <c r="A37" s="150" t="s">
        <v>81</v>
      </c>
      <c r="B37" s="53">
        <v>23559.0</v>
      </c>
      <c r="C37" s="48">
        <v>22815.0</v>
      </c>
      <c r="D37" s="147">
        <v>0.68</v>
      </c>
      <c r="E37" s="148">
        <v>0.635371466140697</v>
      </c>
      <c r="F37" s="147">
        <v>0.89</v>
      </c>
      <c r="G37" s="148">
        <v>0.9247424939732632</v>
      </c>
      <c r="H37" s="147">
        <v>0.88</v>
      </c>
      <c r="I37" s="148">
        <v>0.8804295419680035</v>
      </c>
      <c r="J37" s="147">
        <v>0.9</v>
      </c>
      <c r="K37" s="148">
        <v>0.9028270874424721</v>
      </c>
      <c r="L37" s="147">
        <v>0.82</v>
      </c>
      <c r="M37" s="148">
        <v>0.8861275476660092</v>
      </c>
      <c r="N37" s="149">
        <v>0.54</v>
      </c>
      <c r="O37" s="52">
        <v>0.5509533201840894</v>
      </c>
      <c r="P37" s="52">
        <v>0.5476463347340719</v>
      </c>
      <c r="Q37" s="52">
        <v>0.616787201402586</v>
      </c>
      <c r="S37" s="133"/>
    </row>
    <row r="38">
      <c r="A38" s="150" t="s">
        <v>83</v>
      </c>
      <c r="B38" s="53">
        <v>97828.0</v>
      </c>
      <c r="C38" s="48">
        <v>94744.0</v>
      </c>
      <c r="D38" s="147">
        <v>0.86</v>
      </c>
      <c r="E38" s="148">
        <v>0.9035506206197754</v>
      </c>
      <c r="F38" s="147">
        <v>0.91</v>
      </c>
      <c r="G38" s="148">
        <v>0.9949020518449717</v>
      </c>
      <c r="H38" s="147">
        <v>0.93</v>
      </c>
      <c r="I38" s="148">
        <v>0.9693278730051508</v>
      </c>
      <c r="J38" s="147">
        <v>0.96</v>
      </c>
      <c r="K38" s="148">
        <v>0.9881047876382674</v>
      </c>
      <c r="L38" s="147">
        <v>0.89</v>
      </c>
      <c r="M38" s="148">
        <v>0.9615701258127164</v>
      </c>
      <c r="N38" s="149">
        <v>0.41</v>
      </c>
      <c r="O38" s="52">
        <v>0.42500844380646796</v>
      </c>
      <c r="P38" s="52">
        <v>0.6853763748620026</v>
      </c>
      <c r="Q38" s="52">
        <v>0.7724710799628473</v>
      </c>
      <c r="S38" s="133"/>
    </row>
    <row r="39" hidden="1">
      <c r="A39" s="154" t="s">
        <v>85</v>
      </c>
      <c r="B39" s="70">
        <v>1551000.0</v>
      </c>
      <c r="C39" s="71">
        <v>1489115.0</v>
      </c>
      <c r="D39" s="155">
        <v>0.86</v>
      </c>
      <c r="E39" s="156">
        <v>0.891816280139546</v>
      </c>
      <c r="F39" s="155">
        <v>0.91</v>
      </c>
      <c r="G39" s="156">
        <v>0.9593302061962978</v>
      </c>
      <c r="H39" s="155">
        <v>0.87</v>
      </c>
      <c r="I39" s="156">
        <v>0.9099861327029813</v>
      </c>
      <c r="J39" s="155">
        <v>0.9</v>
      </c>
      <c r="K39" s="156">
        <v>0.9390174701080843</v>
      </c>
      <c r="L39" s="155">
        <v>0.74</v>
      </c>
      <c r="M39" s="156">
        <v>0.8657793387347519</v>
      </c>
      <c r="N39" s="157">
        <v>0.65</v>
      </c>
      <c r="O39" s="76">
        <v>0.6259341958142923</v>
      </c>
      <c r="P39" s="76">
        <v>0.6370709219858156</v>
      </c>
      <c r="Q39" s="76">
        <v>0.7184099280445096</v>
      </c>
      <c r="S39" s="133"/>
    </row>
    <row r="42">
      <c r="D42" s="42" t="s">
        <v>128</v>
      </c>
      <c r="E42" s="42" t="s">
        <v>129</v>
      </c>
    </row>
    <row r="43">
      <c r="C43" s="116" t="s">
        <v>114</v>
      </c>
      <c r="D43" s="158">
        <v>0.86</v>
      </c>
      <c r="E43" s="156">
        <v>0.891816280139546</v>
      </c>
      <c r="F43" s="159"/>
      <c r="G43" s="159"/>
      <c r="H43" s="160"/>
      <c r="I43" s="160"/>
      <c r="J43" s="160"/>
      <c r="K43" s="160"/>
      <c r="L43" s="161"/>
      <c r="M43" s="161"/>
      <c r="N43" s="162"/>
      <c r="O43" s="161"/>
      <c r="P43" s="160"/>
      <c r="Q43" s="160"/>
      <c r="R43" s="160"/>
      <c r="S43" s="160"/>
      <c r="T43" s="160"/>
      <c r="U43" s="161"/>
      <c r="V43" s="161"/>
      <c r="W43" s="161"/>
      <c r="X43" s="163"/>
    </row>
    <row r="44">
      <c r="C44" s="116" t="s">
        <v>130</v>
      </c>
      <c r="D44" s="158">
        <v>0.91</v>
      </c>
      <c r="E44" s="156">
        <v>0.9593302061962978</v>
      </c>
      <c r="F44" s="164"/>
      <c r="G44" s="165"/>
      <c r="H44" s="166"/>
      <c r="I44" s="167"/>
      <c r="J44" s="166"/>
      <c r="K44" s="167"/>
      <c r="L44" s="166"/>
      <c r="M44" s="167"/>
      <c r="N44" s="166"/>
      <c r="O44" s="167"/>
      <c r="P44" s="168"/>
      <c r="Q44" s="168"/>
      <c r="R44" s="167"/>
      <c r="S44" s="166"/>
      <c r="T44" s="169"/>
      <c r="U44" s="166"/>
      <c r="V44" s="168"/>
      <c r="W44" s="166"/>
      <c r="X44" s="168"/>
    </row>
    <row r="45">
      <c r="C45" s="116" t="s">
        <v>131</v>
      </c>
      <c r="D45" s="158">
        <v>0.87</v>
      </c>
      <c r="E45" s="156">
        <v>0.9099861327029813</v>
      </c>
    </row>
    <row r="46">
      <c r="C46" s="145" t="s">
        <v>132</v>
      </c>
      <c r="D46" s="158">
        <v>0.9</v>
      </c>
      <c r="E46" s="156">
        <v>0.9390174701080843</v>
      </c>
    </row>
    <row r="47">
      <c r="C47" s="116" t="s">
        <v>133</v>
      </c>
      <c r="D47" s="158">
        <v>0.74</v>
      </c>
      <c r="E47" s="156">
        <v>0.8657793387347519</v>
      </c>
    </row>
    <row r="48">
      <c r="C48" s="116" t="s">
        <v>134</v>
      </c>
      <c r="D48" s="75">
        <v>0.65</v>
      </c>
      <c r="E48" s="76">
        <v>0.6259341958142923</v>
      </c>
    </row>
    <row r="49">
      <c r="C49" s="116" t="s">
        <v>135</v>
      </c>
      <c r="D49" s="158">
        <v>0.66</v>
      </c>
      <c r="E49" s="156">
        <v>0.767673416760962</v>
      </c>
    </row>
    <row r="50">
      <c r="C50" s="116" t="s">
        <v>136</v>
      </c>
      <c r="D50" s="158">
        <v>0.05</v>
      </c>
      <c r="E50" s="129">
        <v>0.05521601756748136</v>
      </c>
    </row>
    <row r="51">
      <c r="C51" s="116" t="s">
        <v>137</v>
      </c>
      <c r="D51" s="158">
        <v>0.19</v>
      </c>
      <c r="E51" s="76">
        <v>0.3391202156985861</v>
      </c>
    </row>
    <row r="52">
      <c r="C52" s="116" t="s">
        <v>138</v>
      </c>
      <c r="D52" s="158">
        <v>0.73</v>
      </c>
      <c r="E52" s="76">
        <v>0.5840979373654822</v>
      </c>
    </row>
    <row r="53">
      <c r="C53" s="116" t="s">
        <v>120</v>
      </c>
      <c r="D53" s="158">
        <v>0.6370709219858156</v>
      </c>
      <c r="E53" s="76">
        <v>0.7184099280445096</v>
      </c>
    </row>
  </sheetData>
  <autoFilter ref="$A$1:$Q$39">
    <filterColumn colId="0">
      <filters blank="1">
        <filter val="Bihar"/>
        <filter val="Delhi"/>
        <filter val="Gujarat"/>
        <filter val="Telangana"/>
        <filter val="Andhra Pradesh"/>
        <filter val="Madhya Pradesh"/>
        <filter val="Jammu &amp; Kashmir"/>
        <filter val="Puducherry"/>
        <filter val="Chhattisgarh"/>
        <filter val="Karnataka"/>
        <filter val="Goa"/>
        <filter val="Ladakh"/>
        <filter val="Odisha"/>
        <filter val="West Bengal"/>
        <filter val="Maharashtra"/>
        <filter val="Kerala"/>
        <filter val="Chandigarh"/>
        <filter val="Lakshadweep"/>
        <filter val="Punjab"/>
        <filter val="Rajasthan"/>
        <filter val="Uttar Pradesh"/>
        <filter val="Jharkhand"/>
        <filter val="Haryana"/>
        <filter val="Himachal Pradesh"/>
        <filter val="Uttarakhand"/>
        <filter val="Tamilnadu"/>
        <filter val="Andaman &amp; Nicobar Islands"/>
        <filter val="Dadra &amp; Nagar Haveli and Daman &amp; Diu"/>
      </filters>
    </filterColumn>
  </autoFilter>
  <conditionalFormatting sqref="Q3:Q39">
    <cfRule type="cellIs" dxfId="1" priority="1" operator="between">
      <formula>"50%"</formula>
      <formula>"70%"</formula>
    </cfRule>
  </conditionalFormatting>
  <conditionalFormatting sqref="Q3:Q39">
    <cfRule type="cellIs" dxfId="2" priority="2" operator="lessThan">
      <formula>"50%"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sheetData>
    <row r="1">
      <c r="A1" s="36"/>
      <c r="B1" s="143" t="s">
        <v>14</v>
      </c>
      <c r="C1" s="144"/>
      <c r="D1" s="119" t="s">
        <v>139</v>
      </c>
      <c r="E1" s="119"/>
      <c r="F1" s="119" t="s">
        <v>140</v>
      </c>
      <c r="G1" s="119"/>
      <c r="H1" s="170" t="s">
        <v>137</v>
      </c>
      <c r="I1" s="170"/>
      <c r="J1" s="170" t="s">
        <v>138</v>
      </c>
      <c r="K1" s="116"/>
    </row>
    <row r="2">
      <c r="A2" s="36" t="s">
        <v>18</v>
      </c>
      <c r="B2" s="143" t="s">
        <v>19</v>
      </c>
      <c r="C2" s="144" t="s">
        <v>20</v>
      </c>
      <c r="D2" s="143" t="s">
        <v>19</v>
      </c>
      <c r="E2" s="144" t="s">
        <v>20</v>
      </c>
      <c r="F2" s="143" t="s">
        <v>19</v>
      </c>
      <c r="G2" s="144" t="s">
        <v>20</v>
      </c>
      <c r="H2" s="143" t="s">
        <v>19</v>
      </c>
      <c r="I2" s="144" t="s">
        <v>20</v>
      </c>
      <c r="J2" s="143" t="s">
        <v>19</v>
      </c>
      <c r="K2" s="144" t="s">
        <v>20</v>
      </c>
    </row>
    <row r="3">
      <c r="A3" s="146" t="s">
        <v>23</v>
      </c>
      <c r="B3" s="53">
        <v>414.0</v>
      </c>
      <c r="C3" s="48">
        <v>416.0</v>
      </c>
      <c r="D3" s="171">
        <v>0.77</v>
      </c>
      <c r="E3" s="148">
        <v>0.9855769230769231</v>
      </c>
      <c r="F3" s="171">
        <v>0.14</v>
      </c>
      <c r="G3" s="118">
        <v>0.2980769230769231</v>
      </c>
      <c r="H3" s="171">
        <v>0.26</v>
      </c>
      <c r="I3" s="52">
        <v>0.4495192307692308</v>
      </c>
      <c r="J3" s="171">
        <v>0.95</v>
      </c>
      <c r="K3" s="52">
        <v>0.7355769230769231</v>
      </c>
    </row>
    <row r="4">
      <c r="A4" s="150" t="s">
        <v>24</v>
      </c>
      <c r="B4" s="53">
        <v>63621.0</v>
      </c>
      <c r="C4" s="48">
        <v>61948.0</v>
      </c>
      <c r="D4" s="171">
        <v>0.61</v>
      </c>
      <c r="E4" s="148">
        <v>0.9498773164589656</v>
      </c>
      <c r="F4" s="171">
        <v>0.0</v>
      </c>
      <c r="G4" s="118">
        <v>0.009330406147091108</v>
      </c>
      <c r="H4" s="171">
        <v>0.17</v>
      </c>
      <c r="I4" s="52">
        <v>0.5608574933815458</v>
      </c>
      <c r="J4" s="171">
        <v>0.7</v>
      </c>
      <c r="K4" s="52">
        <v>0.727061406340802</v>
      </c>
    </row>
    <row r="5">
      <c r="A5" s="150" t="s">
        <v>26</v>
      </c>
      <c r="B5" s="53">
        <v>3793.0</v>
      </c>
      <c r="C5" s="48">
        <v>3603.0</v>
      </c>
      <c r="D5" s="171"/>
      <c r="E5" s="148">
        <v>0.30086039411601445</v>
      </c>
      <c r="F5" s="171"/>
      <c r="G5" s="118">
        <v>0.03719122953094643</v>
      </c>
      <c r="H5" s="171"/>
      <c r="I5" s="52">
        <v>0.22037191229530947</v>
      </c>
      <c r="J5" s="171"/>
      <c r="K5" s="52">
        <v>0.68165417707466</v>
      </c>
    </row>
    <row r="6">
      <c r="A6" s="150" t="s">
        <v>27</v>
      </c>
      <c r="B6" s="53">
        <v>66324.0</v>
      </c>
      <c r="C6" s="48">
        <v>60859.0</v>
      </c>
      <c r="D6" s="171">
        <v>0.46</v>
      </c>
      <c r="E6" s="148">
        <v>0.7251022856110024</v>
      </c>
      <c r="F6" s="171">
        <v>0.03</v>
      </c>
      <c r="G6" s="118">
        <v>0.04171938415024894</v>
      </c>
      <c r="H6" s="171">
        <v>0.06</v>
      </c>
      <c r="I6" s="52">
        <v>0.11709032353472781</v>
      </c>
      <c r="J6" s="171">
        <v>0.89</v>
      </c>
      <c r="K6" s="52">
        <v>0.7273205277773214</v>
      </c>
    </row>
    <row r="7">
      <c r="A7" s="150" t="s">
        <v>29</v>
      </c>
      <c r="B7" s="53">
        <v>89224.0</v>
      </c>
      <c r="C7" s="48">
        <v>93165.0</v>
      </c>
      <c r="D7" s="171">
        <v>0.32</v>
      </c>
      <c r="E7" s="148">
        <v>0.3958246122470885</v>
      </c>
      <c r="F7" s="171">
        <v>0.02</v>
      </c>
      <c r="G7" s="118">
        <v>0.016164868781194653</v>
      </c>
      <c r="H7" s="171">
        <v>0.07</v>
      </c>
      <c r="I7" s="52">
        <v>0.11142596468630923</v>
      </c>
      <c r="J7" s="171">
        <v>0.68</v>
      </c>
      <c r="K7" s="52">
        <v>0.3489185853056405</v>
      </c>
    </row>
    <row r="8">
      <c r="A8" s="150" t="s">
        <v>31</v>
      </c>
      <c r="B8" s="64">
        <v>229.0</v>
      </c>
      <c r="C8" s="48">
        <v>233.0</v>
      </c>
      <c r="D8" s="171">
        <v>0.93</v>
      </c>
      <c r="E8" s="148">
        <v>0.9570815450643777</v>
      </c>
      <c r="F8" s="171">
        <v>0.66</v>
      </c>
      <c r="G8" s="118">
        <v>0.5579399141630901</v>
      </c>
      <c r="H8" s="171">
        <v>0.97</v>
      </c>
      <c r="I8" s="52">
        <v>0.9871244635193133</v>
      </c>
      <c r="J8" s="171">
        <v>0.91</v>
      </c>
      <c r="K8" s="52">
        <v>0.5579399141630901</v>
      </c>
    </row>
    <row r="9">
      <c r="A9" s="150" t="s">
        <v>32</v>
      </c>
      <c r="B9" s="53">
        <v>56274.0</v>
      </c>
      <c r="C9" s="48">
        <v>56512.0</v>
      </c>
      <c r="D9" s="171">
        <v>0.8</v>
      </c>
      <c r="E9" s="148">
        <v>0.9585751698754247</v>
      </c>
      <c r="F9" s="171">
        <v>0.01</v>
      </c>
      <c r="G9" s="118">
        <v>0.02011962061155153</v>
      </c>
      <c r="H9" s="171">
        <v>0.05</v>
      </c>
      <c r="I9" s="52">
        <v>0.3669132219705549</v>
      </c>
      <c r="J9" s="171">
        <v>0.92</v>
      </c>
      <c r="K9" s="52">
        <v>0.820763731596829</v>
      </c>
    </row>
    <row r="10">
      <c r="A10" s="150" t="s">
        <v>34</v>
      </c>
      <c r="B10" s="53">
        <v>486.0</v>
      </c>
      <c r="C10" s="48">
        <v>460.0</v>
      </c>
      <c r="D10" s="64" t="s">
        <v>141</v>
      </c>
      <c r="E10" s="148">
        <v>0.9804347826086957</v>
      </c>
      <c r="F10" s="64" t="s">
        <v>142</v>
      </c>
      <c r="G10" s="118">
        <v>0.2108695652173913</v>
      </c>
      <c r="H10" s="64" t="s">
        <v>143</v>
      </c>
      <c r="I10" s="52">
        <v>0.5739130434782609</v>
      </c>
      <c r="J10" s="64" t="s">
        <v>144</v>
      </c>
      <c r="K10" s="52">
        <v>0.7869565217391304</v>
      </c>
    </row>
    <row r="11">
      <c r="A11" s="150" t="s">
        <v>39</v>
      </c>
      <c r="B11" s="53">
        <v>5703.0</v>
      </c>
      <c r="C11" s="48">
        <v>5619.0</v>
      </c>
      <c r="D11" s="171">
        <v>0.95</v>
      </c>
      <c r="E11" s="148">
        <v>1.0</v>
      </c>
      <c r="F11" s="171">
        <v>0.23</v>
      </c>
      <c r="G11" s="118">
        <v>0.2183662573411639</v>
      </c>
      <c r="H11" s="171">
        <v>0.82</v>
      </c>
      <c r="I11" s="52">
        <v>1.0</v>
      </c>
      <c r="J11" s="171">
        <v>1.0</v>
      </c>
      <c r="K11" s="52">
        <v>0.5355045381740523</v>
      </c>
    </row>
    <row r="12">
      <c r="A12" s="150" t="s">
        <v>41</v>
      </c>
      <c r="B12" s="53">
        <v>1486.0</v>
      </c>
      <c r="C12" s="48">
        <v>1510.0</v>
      </c>
      <c r="D12" s="171">
        <v>0.78</v>
      </c>
      <c r="E12" s="148">
        <v>0.9735099337748344</v>
      </c>
      <c r="F12" s="171">
        <v>0.16</v>
      </c>
      <c r="G12" s="118">
        <v>0.20066225165562915</v>
      </c>
      <c r="H12" s="171">
        <v>0.4</v>
      </c>
      <c r="I12" s="52">
        <v>0.5821192052980132</v>
      </c>
      <c r="J12" s="171">
        <v>0.95</v>
      </c>
      <c r="K12" s="52">
        <v>0.7966887417218543</v>
      </c>
    </row>
    <row r="13">
      <c r="A13" s="150" t="s">
        <v>42</v>
      </c>
      <c r="B13" s="53">
        <v>54581.0</v>
      </c>
      <c r="C13" s="48">
        <v>53851.0</v>
      </c>
      <c r="D13" s="171">
        <v>0.76</v>
      </c>
      <c r="E13" s="148">
        <v>0.9306233867523351</v>
      </c>
      <c r="F13" s="171">
        <v>0.08</v>
      </c>
      <c r="G13" s="118">
        <v>0.06824385805277525</v>
      </c>
      <c r="H13" s="171">
        <v>0.67</v>
      </c>
      <c r="I13" s="52">
        <v>0.9196115206774248</v>
      </c>
      <c r="J13" s="171">
        <v>0.78</v>
      </c>
      <c r="K13" s="52">
        <v>0.6978514790811684</v>
      </c>
    </row>
    <row r="14">
      <c r="A14" s="150" t="s">
        <v>44</v>
      </c>
      <c r="B14" s="53">
        <v>23534.0</v>
      </c>
      <c r="C14" s="48">
        <v>23726.0</v>
      </c>
      <c r="D14" s="171">
        <v>0.86</v>
      </c>
      <c r="E14" s="148">
        <v>0.9420045519683048</v>
      </c>
      <c r="F14" s="171">
        <v>0.17</v>
      </c>
      <c r="G14" s="118">
        <v>0.13639045772570177</v>
      </c>
      <c r="H14" s="171">
        <v>0.41</v>
      </c>
      <c r="I14" s="52">
        <v>0.5124336171288881</v>
      </c>
      <c r="J14" s="171">
        <v>0.64</v>
      </c>
      <c r="K14" s="52">
        <v>0.5468684143977072</v>
      </c>
    </row>
    <row r="15">
      <c r="A15" s="150" t="s">
        <v>46</v>
      </c>
      <c r="B15" s="53">
        <v>18212.0</v>
      </c>
      <c r="C15" s="48">
        <v>18028.0</v>
      </c>
      <c r="D15" s="171">
        <v>0.84</v>
      </c>
      <c r="E15" s="148">
        <v>0.892056800532505</v>
      </c>
      <c r="F15" s="171">
        <v>0.16</v>
      </c>
      <c r="G15" s="118">
        <v>0.13029731528733082</v>
      </c>
      <c r="H15" s="171">
        <v>0.22</v>
      </c>
      <c r="I15" s="52">
        <v>0.3447415132016863</v>
      </c>
      <c r="J15" s="171">
        <v>0.75</v>
      </c>
      <c r="K15" s="52">
        <v>0.4757599289993344</v>
      </c>
    </row>
    <row r="16">
      <c r="A16" s="150" t="s">
        <v>48</v>
      </c>
      <c r="B16" s="53">
        <v>29708.0</v>
      </c>
      <c r="C16" s="48">
        <v>28805.0</v>
      </c>
      <c r="D16" s="171">
        <v>0.36</v>
      </c>
      <c r="E16" s="148">
        <v>0.42010067696580455</v>
      </c>
      <c r="F16" s="171">
        <v>0.05</v>
      </c>
      <c r="G16" s="118">
        <v>0.0850546780072904</v>
      </c>
      <c r="H16" s="171">
        <v>0.12</v>
      </c>
      <c r="I16" s="52">
        <v>0.29737892726957127</v>
      </c>
      <c r="J16" s="171">
        <v>0.73</v>
      </c>
      <c r="K16" s="52">
        <v>0.42194063530637044</v>
      </c>
    </row>
    <row r="17">
      <c r="A17" s="150" t="s">
        <v>50</v>
      </c>
      <c r="B17" s="53">
        <v>45908.0</v>
      </c>
      <c r="C17" s="48">
        <v>44855.0</v>
      </c>
      <c r="D17" s="171">
        <v>0.89</v>
      </c>
      <c r="E17" s="148">
        <v>0.9154386356036116</v>
      </c>
      <c r="F17" s="171">
        <v>0.02</v>
      </c>
      <c r="G17" s="118">
        <v>0.033218147363727565</v>
      </c>
      <c r="H17" s="171">
        <v>0.3</v>
      </c>
      <c r="I17" s="52">
        <v>0.372890424701817</v>
      </c>
      <c r="J17" s="171">
        <v>0.8</v>
      </c>
      <c r="K17" s="52">
        <v>0.7250473748745959</v>
      </c>
    </row>
    <row r="18">
      <c r="A18" s="150" t="s">
        <v>52</v>
      </c>
      <c r="B18" s="53">
        <v>78233.0</v>
      </c>
      <c r="C18" s="48">
        <v>76450.0</v>
      </c>
      <c r="D18" s="171">
        <v>0.88</v>
      </c>
      <c r="E18" s="148">
        <v>0.9465663832570307</v>
      </c>
      <c r="F18" s="171">
        <v>0.05</v>
      </c>
      <c r="G18" s="118">
        <v>0.04149117069980379</v>
      </c>
      <c r="H18" s="171">
        <v>0.12</v>
      </c>
      <c r="I18" s="52">
        <v>0.29548724656638325</v>
      </c>
      <c r="J18" s="171">
        <v>0.79</v>
      </c>
      <c r="K18" s="52">
        <v>0.5890385873119686</v>
      </c>
    </row>
    <row r="19">
      <c r="A19" s="150" t="s">
        <v>54</v>
      </c>
      <c r="B19" s="53">
        <v>16701.0</v>
      </c>
      <c r="C19" s="48">
        <v>16240.0</v>
      </c>
      <c r="D19" s="171">
        <v>0.85</v>
      </c>
      <c r="E19" s="148">
        <v>0.9541256157635468</v>
      </c>
      <c r="F19" s="171">
        <v>0.27</v>
      </c>
      <c r="G19" s="118">
        <v>0.3838669950738916</v>
      </c>
      <c r="H19" s="171">
        <v>0.88</v>
      </c>
      <c r="I19" s="52">
        <v>0.9519088669950739</v>
      </c>
      <c r="J19" s="171">
        <v>0.78</v>
      </c>
      <c r="K19" s="52">
        <v>0.7459975369458128</v>
      </c>
    </row>
    <row r="20">
      <c r="A20" s="150" t="s">
        <v>56</v>
      </c>
      <c r="B20" s="68"/>
      <c r="C20" s="48">
        <v>978.0</v>
      </c>
      <c r="D20" s="171"/>
      <c r="E20" s="148">
        <v>0.9274028629856851</v>
      </c>
      <c r="F20" s="172"/>
      <c r="G20" s="118">
        <v>0.13803680981595093</v>
      </c>
      <c r="H20" s="172"/>
      <c r="I20" s="52">
        <v>0.4274028629856851</v>
      </c>
      <c r="J20" s="172"/>
      <c r="K20" s="52">
        <v>0.3824130879345603</v>
      </c>
    </row>
    <row r="21">
      <c r="A21" s="150" t="s">
        <v>57</v>
      </c>
      <c r="B21" s="53">
        <v>45.0</v>
      </c>
      <c r="C21" s="48">
        <v>38.0</v>
      </c>
      <c r="D21" s="171">
        <v>0.96</v>
      </c>
      <c r="E21" s="148">
        <v>1.0</v>
      </c>
      <c r="F21" s="171">
        <v>0.22</v>
      </c>
      <c r="G21" s="118">
        <v>0.39473684210526316</v>
      </c>
      <c r="H21" s="171">
        <v>0.84</v>
      </c>
      <c r="I21" s="52">
        <v>0.9736842105263158</v>
      </c>
      <c r="J21" s="171">
        <v>1.0</v>
      </c>
      <c r="K21" s="52">
        <v>0.9736842105263158</v>
      </c>
    </row>
    <row r="22">
      <c r="A22" s="150" t="s">
        <v>58</v>
      </c>
      <c r="B22" s="53">
        <v>154064.0</v>
      </c>
      <c r="C22" s="48">
        <v>125582.0</v>
      </c>
      <c r="D22" s="171">
        <v>0.9</v>
      </c>
      <c r="E22" s="148">
        <v>0.9347677214887484</v>
      </c>
      <c r="F22" s="171">
        <v>0.0</v>
      </c>
      <c r="G22" s="118">
        <v>0.0067366342310203695</v>
      </c>
      <c r="H22" s="171">
        <v>0.11</v>
      </c>
      <c r="I22" s="52">
        <v>0.2752146008185887</v>
      </c>
      <c r="J22" s="171">
        <v>0.75</v>
      </c>
      <c r="K22" s="52">
        <v>0.5104155054068258</v>
      </c>
    </row>
    <row r="23">
      <c r="A23" s="150" t="s">
        <v>60</v>
      </c>
      <c r="B23" s="53">
        <v>109942.0</v>
      </c>
      <c r="C23" s="48">
        <v>109605.0</v>
      </c>
      <c r="D23" s="171">
        <v>0.81</v>
      </c>
      <c r="E23" s="148">
        <v>0.8949682952420054</v>
      </c>
      <c r="F23" s="171">
        <v>0.11</v>
      </c>
      <c r="G23" s="118">
        <v>0.08013320560193422</v>
      </c>
      <c r="H23" s="171">
        <v>0.34</v>
      </c>
      <c r="I23" s="52">
        <v>0.4794763012636285</v>
      </c>
      <c r="J23" s="171">
        <v>0.94</v>
      </c>
      <c r="K23" s="52">
        <v>0.764800875872451</v>
      </c>
    </row>
    <row r="24">
      <c r="A24" s="150" t="s">
        <v>62</v>
      </c>
      <c r="B24" s="53">
        <v>4844.0</v>
      </c>
      <c r="C24" s="48">
        <v>4617.0</v>
      </c>
      <c r="D24" s="171">
        <v>0.17</v>
      </c>
      <c r="E24" s="148">
        <v>0.21485813298678796</v>
      </c>
      <c r="F24" s="171">
        <v>0.04</v>
      </c>
      <c r="G24" s="118">
        <v>0.08750270738574832</v>
      </c>
      <c r="H24" s="171">
        <v>0.13</v>
      </c>
      <c r="I24" s="52">
        <v>0.23066926575698504</v>
      </c>
      <c r="J24" s="171">
        <v>0.91</v>
      </c>
      <c r="K24" s="52">
        <v>0.5161360190599956</v>
      </c>
    </row>
    <row r="25">
      <c r="A25" s="150" t="s">
        <v>63</v>
      </c>
      <c r="B25" s="53">
        <v>14669.0</v>
      </c>
      <c r="C25" s="48">
        <v>14600.0</v>
      </c>
      <c r="D25" s="171">
        <v>0.04</v>
      </c>
      <c r="E25" s="148">
        <v>0.12417808219178082</v>
      </c>
      <c r="F25" s="171">
        <v>0.02</v>
      </c>
      <c r="G25" s="118">
        <v>0.022397260273972604</v>
      </c>
      <c r="H25" s="171">
        <v>0.04</v>
      </c>
      <c r="I25" s="52">
        <v>0.1684931506849315</v>
      </c>
      <c r="J25" s="171">
        <v>0.83</v>
      </c>
      <c r="K25" s="52">
        <v>0.6793150684931507</v>
      </c>
    </row>
    <row r="26">
      <c r="A26" s="150" t="s">
        <v>64</v>
      </c>
      <c r="B26" s="53">
        <v>3913.0</v>
      </c>
      <c r="C26" s="48">
        <v>3911.0</v>
      </c>
      <c r="D26" s="171">
        <v>0.1</v>
      </c>
      <c r="E26" s="148">
        <v>0.5382255177703912</v>
      </c>
      <c r="F26" s="171">
        <v>0.03</v>
      </c>
      <c r="G26" s="118">
        <v>0.022756328304781387</v>
      </c>
      <c r="H26" s="171">
        <v>0.07</v>
      </c>
      <c r="I26" s="52">
        <v>0.07849654819739198</v>
      </c>
      <c r="J26" s="171">
        <v>0.89</v>
      </c>
      <c r="K26" s="52">
        <v>0.6428023523395551</v>
      </c>
    </row>
    <row r="27">
      <c r="A27" s="150" t="s">
        <v>65</v>
      </c>
      <c r="B27" s="53">
        <v>2752.0</v>
      </c>
      <c r="C27" s="48">
        <v>2718.0</v>
      </c>
      <c r="D27" s="171">
        <v>0.27</v>
      </c>
      <c r="E27" s="148">
        <v>0.6596762325239146</v>
      </c>
      <c r="F27" s="171">
        <v>0.05</v>
      </c>
      <c r="G27" s="118">
        <v>0.07689477557027226</v>
      </c>
      <c r="H27" s="171">
        <v>0.15</v>
      </c>
      <c r="I27" s="52">
        <v>0.5088300220750552</v>
      </c>
      <c r="J27" s="171">
        <v>0.62</v>
      </c>
      <c r="K27" s="52">
        <v>0.5515084621044886</v>
      </c>
    </row>
    <row r="28">
      <c r="A28" s="150" t="s">
        <v>66</v>
      </c>
      <c r="B28" s="53">
        <v>68717.0</v>
      </c>
      <c r="C28" s="48">
        <v>62291.0</v>
      </c>
      <c r="D28" s="171">
        <v>0.94</v>
      </c>
      <c r="E28" s="148">
        <v>0.9224446549260727</v>
      </c>
      <c r="F28" s="171">
        <v>0.06</v>
      </c>
      <c r="G28" s="118">
        <v>0.05668555650093914</v>
      </c>
      <c r="H28" s="171">
        <v>0.06</v>
      </c>
      <c r="I28" s="52">
        <v>0.1490423977781702</v>
      </c>
      <c r="J28" s="171">
        <v>0.7</v>
      </c>
      <c r="K28" s="52">
        <v>0.6438008701096467</v>
      </c>
    </row>
    <row r="29">
      <c r="A29" s="150" t="s">
        <v>68</v>
      </c>
      <c r="B29" s="53">
        <v>739.0</v>
      </c>
      <c r="C29" s="48">
        <v>736.0</v>
      </c>
      <c r="D29" s="171">
        <v>0.88</v>
      </c>
      <c r="E29" s="148">
        <v>0.9959239130434783</v>
      </c>
      <c r="F29" s="171">
        <v>0.28</v>
      </c>
      <c r="G29" s="118">
        <v>0.33016304347826086</v>
      </c>
      <c r="H29" s="171">
        <v>0.67</v>
      </c>
      <c r="I29" s="52">
        <v>0.9836956521739131</v>
      </c>
      <c r="J29" s="171">
        <v>0.91</v>
      </c>
      <c r="K29" s="52">
        <v>0.5828804347826086</v>
      </c>
    </row>
    <row r="30">
      <c r="A30" s="150" t="s">
        <v>69</v>
      </c>
      <c r="B30" s="53">
        <v>28637.0</v>
      </c>
      <c r="C30" s="48">
        <v>27701.0</v>
      </c>
      <c r="D30" s="171">
        <v>0.72</v>
      </c>
      <c r="E30" s="148">
        <v>0.7503339229630699</v>
      </c>
      <c r="F30" s="173">
        <v>0.22</v>
      </c>
      <c r="G30" s="118">
        <v>0.24269881953720082</v>
      </c>
      <c r="H30" s="171">
        <v>0.46</v>
      </c>
      <c r="I30" s="52">
        <v>0.5930832821919786</v>
      </c>
      <c r="J30" s="171">
        <v>0.65</v>
      </c>
      <c r="K30" s="52">
        <v>0.6757517779141547</v>
      </c>
    </row>
    <row r="31">
      <c r="A31" s="150" t="s">
        <v>71</v>
      </c>
      <c r="B31" s="53">
        <v>105883.0</v>
      </c>
      <c r="C31" s="48">
        <v>106373.0</v>
      </c>
      <c r="D31" s="171">
        <v>0.65</v>
      </c>
      <c r="E31" s="148">
        <v>0.7054515713573933</v>
      </c>
      <c r="F31" s="171">
        <v>0.11</v>
      </c>
      <c r="G31" s="118">
        <v>0.10254481870399443</v>
      </c>
      <c r="H31" s="171">
        <v>0.3</v>
      </c>
      <c r="I31" s="52">
        <v>0.5985917479059536</v>
      </c>
      <c r="J31" s="171">
        <v>0.75</v>
      </c>
      <c r="K31" s="52">
        <v>0.5050341722053528</v>
      </c>
    </row>
    <row r="32">
      <c r="A32" s="150" t="s">
        <v>73</v>
      </c>
      <c r="B32" s="53">
        <v>1290.0</v>
      </c>
      <c r="C32" s="48">
        <v>1259.0</v>
      </c>
      <c r="D32" s="171">
        <v>0.45</v>
      </c>
      <c r="E32" s="148">
        <v>0.5297855440826053</v>
      </c>
      <c r="F32" s="171">
        <v>0.11</v>
      </c>
      <c r="G32" s="118">
        <v>0.19062748212867356</v>
      </c>
      <c r="H32" s="171">
        <v>0.19</v>
      </c>
      <c r="I32" s="52">
        <v>0.34471803018268465</v>
      </c>
      <c r="J32" s="171">
        <v>0.9</v>
      </c>
      <c r="K32" s="52">
        <v>0.5536139793486894</v>
      </c>
    </row>
    <row r="33">
      <c r="A33" s="150" t="s">
        <v>74</v>
      </c>
      <c r="B33" s="53">
        <v>59152.0</v>
      </c>
      <c r="C33" s="48">
        <v>58801.0</v>
      </c>
      <c r="D33" s="171">
        <v>0.61</v>
      </c>
      <c r="E33" s="148">
        <v>0.6187139674495332</v>
      </c>
      <c r="F33" s="171">
        <v>0.01</v>
      </c>
      <c r="G33" s="118">
        <v>0.09889287597149708</v>
      </c>
      <c r="H33" s="171">
        <v>0.24</v>
      </c>
      <c r="I33" s="52">
        <v>0.37560585704324756</v>
      </c>
      <c r="J33" s="171">
        <v>1.0</v>
      </c>
      <c r="K33" s="52">
        <v>0.7625210455604496</v>
      </c>
    </row>
    <row r="34">
      <c r="A34" s="150" t="s">
        <v>76</v>
      </c>
      <c r="B34" s="53">
        <v>42355.0</v>
      </c>
      <c r="C34" s="48">
        <v>43083.0</v>
      </c>
      <c r="D34" s="171">
        <v>0.88</v>
      </c>
      <c r="E34" s="148">
        <v>0.8291205347817004</v>
      </c>
      <c r="F34" s="171">
        <v>0.03</v>
      </c>
      <c r="G34" s="118">
        <v>0.021911194670751803</v>
      </c>
      <c r="H34" s="171">
        <v>0.18</v>
      </c>
      <c r="I34" s="52">
        <v>0.22948726876029987</v>
      </c>
      <c r="J34" s="171">
        <v>0.01</v>
      </c>
      <c r="K34" s="52">
        <v>0.6195715247313326</v>
      </c>
    </row>
    <row r="35">
      <c r="A35" s="150" t="s">
        <v>78</v>
      </c>
      <c r="B35" s="53">
        <v>4945.0</v>
      </c>
      <c r="C35" s="48">
        <v>4929.0</v>
      </c>
      <c r="D35" s="171">
        <v>0.15</v>
      </c>
      <c r="E35" s="148">
        <v>0.25684723067559345</v>
      </c>
      <c r="F35" s="171">
        <v>0.01</v>
      </c>
      <c r="G35" s="118">
        <v>0.08115236356258876</v>
      </c>
      <c r="H35" s="171">
        <v>0.03</v>
      </c>
      <c r="I35" s="52">
        <v>0.18178129438019883</v>
      </c>
      <c r="J35" s="171">
        <v>0.86</v>
      </c>
      <c r="K35" s="52">
        <v>0.5948468249137756</v>
      </c>
    </row>
    <row r="36">
      <c r="A36" s="150" t="s">
        <v>79</v>
      </c>
      <c r="B36" s="53">
        <v>273235.0</v>
      </c>
      <c r="C36" s="48">
        <v>258054.0</v>
      </c>
      <c r="D36" s="171">
        <v>0.4</v>
      </c>
      <c r="E36" s="148">
        <v>0.6890534539282476</v>
      </c>
      <c r="F36" s="171">
        <v>0.02</v>
      </c>
      <c r="G36" s="118">
        <v>0.015302998597192835</v>
      </c>
      <c r="H36" s="171">
        <v>0.11</v>
      </c>
      <c r="I36" s="52">
        <v>0.21140536476861432</v>
      </c>
      <c r="J36" s="171">
        <v>0.57</v>
      </c>
      <c r="K36" s="52">
        <v>0.42919698977733345</v>
      </c>
    </row>
    <row r="37">
      <c r="A37" s="150" t="s">
        <v>81</v>
      </c>
      <c r="B37" s="53">
        <v>23559.0</v>
      </c>
      <c r="C37" s="48">
        <v>22815.0</v>
      </c>
      <c r="D37" s="171">
        <v>0.59</v>
      </c>
      <c r="E37" s="148">
        <v>0.7486741179048871</v>
      </c>
      <c r="F37" s="171">
        <v>0.05</v>
      </c>
      <c r="G37" s="118">
        <v>0.04098181021257944</v>
      </c>
      <c r="H37" s="171">
        <v>0.16</v>
      </c>
      <c r="I37" s="52">
        <v>0.2737234275695814</v>
      </c>
      <c r="J37" s="171">
        <v>0.76</v>
      </c>
      <c r="K37" s="52">
        <v>0.3881218496603112</v>
      </c>
    </row>
    <row r="38">
      <c r="A38" s="150" t="s">
        <v>83</v>
      </c>
      <c r="B38" s="53">
        <v>97828.0</v>
      </c>
      <c r="C38" s="48">
        <v>94744.0</v>
      </c>
      <c r="D38" s="171">
        <v>0.71</v>
      </c>
      <c r="E38" s="148">
        <v>0.6779110022798277</v>
      </c>
      <c r="F38" s="171">
        <v>0.04</v>
      </c>
      <c r="G38" s="118">
        <v>0.07753525289200372</v>
      </c>
      <c r="H38" s="171">
        <v>0.07</v>
      </c>
      <c r="I38" s="52">
        <v>0.16672295870978637</v>
      </c>
      <c r="J38" s="171">
        <v>0.67</v>
      </c>
      <c r="K38" s="52">
        <v>0.6415287511610234</v>
      </c>
    </row>
    <row r="39">
      <c r="A39" s="154" t="s">
        <v>85</v>
      </c>
      <c r="B39" s="70">
        <v>1551000.0</v>
      </c>
      <c r="C39" s="71">
        <v>1489115.0</v>
      </c>
      <c r="D39" s="158">
        <v>0.66</v>
      </c>
      <c r="E39" s="156">
        <v>0.767673416760962</v>
      </c>
      <c r="F39" s="158">
        <v>0.05</v>
      </c>
      <c r="G39" s="129">
        <v>0.05521601756748136</v>
      </c>
      <c r="H39" s="158">
        <v>0.19</v>
      </c>
      <c r="I39" s="76">
        <v>0.3391202156985861</v>
      </c>
      <c r="J39" s="158">
        <v>0.73</v>
      </c>
      <c r="K39" s="76">
        <v>0.5840979373654822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75"/>
  <sheetData>
    <row r="1">
      <c r="A1" s="174" t="s">
        <v>145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</row>
    <row r="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</row>
    <row r="3">
      <c r="A3" s="177" t="s">
        <v>146</v>
      </c>
      <c r="B3" s="178" t="s">
        <v>147</v>
      </c>
      <c r="C3" s="179" t="s">
        <v>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1"/>
      <c r="AC3" s="182" t="s">
        <v>2</v>
      </c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1"/>
      <c r="BL3" s="183"/>
      <c r="BM3" s="183"/>
      <c r="BN3" s="184" t="s">
        <v>148</v>
      </c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1"/>
    </row>
    <row r="4">
      <c r="A4" s="185"/>
      <c r="B4" s="183"/>
      <c r="C4" s="186" t="s">
        <v>149</v>
      </c>
      <c r="D4" s="187" t="s">
        <v>150</v>
      </c>
      <c r="E4" s="186" t="s">
        <v>151</v>
      </c>
      <c r="F4" s="186" t="s">
        <v>152</v>
      </c>
      <c r="G4" s="187" t="s">
        <v>153</v>
      </c>
      <c r="H4" s="187" t="s">
        <v>154</v>
      </c>
      <c r="I4" s="186" t="s">
        <v>155</v>
      </c>
      <c r="J4" s="186" t="s">
        <v>156</v>
      </c>
      <c r="K4" s="187" t="s">
        <v>157</v>
      </c>
      <c r="L4" s="187" t="s">
        <v>158</v>
      </c>
      <c r="M4" s="186" t="s">
        <v>159</v>
      </c>
      <c r="N4" s="186" t="s">
        <v>160</v>
      </c>
      <c r="O4" s="187" t="s">
        <v>161</v>
      </c>
      <c r="P4" s="187" t="s">
        <v>162</v>
      </c>
      <c r="Q4" s="186" t="s">
        <v>163</v>
      </c>
      <c r="R4" s="186" t="s">
        <v>164</v>
      </c>
      <c r="S4" s="187" t="s">
        <v>165</v>
      </c>
      <c r="T4" s="187" t="s">
        <v>166</v>
      </c>
      <c r="U4" s="186" t="s">
        <v>167</v>
      </c>
      <c r="V4" s="186" t="s">
        <v>168</v>
      </c>
      <c r="W4" s="187" t="s">
        <v>169</v>
      </c>
      <c r="X4" s="187" t="s">
        <v>170</v>
      </c>
      <c r="Y4" s="186" t="s">
        <v>171</v>
      </c>
      <c r="Z4" s="186" t="s">
        <v>172</v>
      </c>
      <c r="AA4" s="187" t="s">
        <v>173</v>
      </c>
      <c r="AB4" s="187" t="s">
        <v>174</v>
      </c>
      <c r="AC4" s="186" t="s">
        <v>149</v>
      </c>
      <c r="AD4" s="187" t="s">
        <v>150</v>
      </c>
      <c r="AE4" s="186" t="s">
        <v>151</v>
      </c>
      <c r="AF4" s="186" t="s">
        <v>152</v>
      </c>
      <c r="AG4" s="187" t="s">
        <v>153</v>
      </c>
      <c r="AH4" s="187" t="s">
        <v>154</v>
      </c>
      <c r="AI4" s="186" t="s">
        <v>156</v>
      </c>
      <c r="AJ4" s="187" t="s">
        <v>158</v>
      </c>
      <c r="AK4" s="186" t="s">
        <v>175</v>
      </c>
      <c r="AL4" s="186" t="s">
        <v>176</v>
      </c>
      <c r="AM4" s="186" t="s">
        <v>163</v>
      </c>
      <c r="AN4" s="186" t="s">
        <v>164</v>
      </c>
      <c r="AO4" s="186" t="s">
        <v>177</v>
      </c>
      <c r="AP4" s="186" t="s">
        <v>178</v>
      </c>
      <c r="AQ4" s="187" t="s">
        <v>179</v>
      </c>
      <c r="AR4" s="187" t="s">
        <v>180</v>
      </c>
      <c r="AS4" s="187" t="s">
        <v>165</v>
      </c>
      <c r="AT4" s="187" t="s">
        <v>166</v>
      </c>
      <c r="AU4" s="187" t="s">
        <v>181</v>
      </c>
      <c r="AV4" s="187" t="s">
        <v>182</v>
      </c>
      <c r="AW4" s="186" t="s">
        <v>183</v>
      </c>
      <c r="AX4" s="186" t="s">
        <v>184</v>
      </c>
      <c r="AY4" s="187" t="s">
        <v>185</v>
      </c>
      <c r="AZ4" s="187" t="s">
        <v>186</v>
      </c>
      <c r="BA4" s="186" t="s">
        <v>187</v>
      </c>
      <c r="BB4" s="186" t="s">
        <v>188</v>
      </c>
      <c r="BC4" s="187" t="s">
        <v>189</v>
      </c>
      <c r="BD4" s="187" t="s">
        <v>190</v>
      </c>
      <c r="BE4" s="187" t="s">
        <v>191</v>
      </c>
      <c r="BF4" s="187" t="s">
        <v>192</v>
      </c>
      <c r="BG4" s="186" t="s">
        <v>193</v>
      </c>
      <c r="BH4" s="187" t="s">
        <v>194</v>
      </c>
      <c r="BI4" s="187" t="s">
        <v>195</v>
      </c>
      <c r="BJ4" s="187" t="s">
        <v>196</v>
      </c>
      <c r="BK4" s="187" t="s">
        <v>197</v>
      </c>
      <c r="BL4" s="186" t="s">
        <v>198</v>
      </c>
      <c r="BM4" s="187" t="s">
        <v>199</v>
      </c>
      <c r="BN4" s="186" t="s">
        <v>200</v>
      </c>
      <c r="BO4" s="186" t="s">
        <v>201</v>
      </c>
      <c r="BP4" s="187" t="s">
        <v>202</v>
      </c>
      <c r="BQ4" s="187" t="s">
        <v>203</v>
      </c>
      <c r="BR4" s="186" t="s">
        <v>204</v>
      </c>
      <c r="BS4" s="186" t="s">
        <v>205</v>
      </c>
      <c r="BT4" s="187" t="s">
        <v>206</v>
      </c>
      <c r="BU4" s="187" t="s">
        <v>207</v>
      </c>
      <c r="BV4" s="186" t="s">
        <v>208</v>
      </c>
      <c r="BW4" s="186" t="s">
        <v>209</v>
      </c>
      <c r="BX4" s="187" t="s">
        <v>210</v>
      </c>
      <c r="BY4" s="187" t="s">
        <v>211</v>
      </c>
      <c r="BZ4" s="186" t="s">
        <v>212</v>
      </c>
      <c r="CA4" s="186" t="s">
        <v>213</v>
      </c>
      <c r="CB4" s="187" t="s">
        <v>214</v>
      </c>
      <c r="CC4" s="187" t="s">
        <v>215</v>
      </c>
      <c r="CD4" s="186" t="s">
        <v>216</v>
      </c>
      <c r="CE4" s="186" t="s">
        <v>217</v>
      </c>
      <c r="CF4" s="187" t="s">
        <v>218</v>
      </c>
      <c r="CG4" s="187" t="s">
        <v>219</v>
      </c>
      <c r="CH4" s="186" t="s">
        <v>220</v>
      </c>
      <c r="CI4" s="186" t="s">
        <v>221</v>
      </c>
      <c r="CJ4" s="187" t="s">
        <v>222</v>
      </c>
      <c r="CK4" s="187" t="s">
        <v>223</v>
      </c>
      <c r="CL4" s="187" t="s">
        <v>224</v>
      </c>
      <c r="CM4" s="187" t="s">
        <v>225</v>
      </c>
      <c r="CN4" s="186" t="s">
        <v>226</v>
      </c>
      <c r="CO4" s="186" t="s">
        <v>227</v>
      </c>
      <c r="CP4" s="187" t="s">
        <v>228</v>
      </c>
      <c r="CQ4" s="187" t="s">
        <v>229</v>
      </c>
      <c r="CR4" s="186" t="s">
        <v>230</v>
      </c>
      <c r="CS4" s="186" t="s">
        <v>231</v>
      </c>
      <c r="CT4" s="187" t="s">
        <v>232</v>
      </c>
      <c r="CU4" s="187" t="s">
        <v>233</v>
      </c>
      <c r="CV4" s="186" t="s">
        <v>234</v>
      </c>
      <c r="CW4" s="186" t="s">
        <v>235</v>
      </c>
      <c r="CX4" s="187" t="s">
        <v>236</v>
      </c>
      <c r="CY4" s="187" t="s">
        <v>237</v>
      </c>
      <c r="CZ4" s="186" t="s">
        <v>238</v>
      </c>
      <c r="DA4" s="186" t="s">
        <v>239</v>
      </c>
      <c r="DB4" s="187" t="s">
        <v>240</v>
      </c>
      <c r="DC4" s="187" t="s">
        <v>241</v>
      </c>
    </row>
    <row r="5">
      <c r="A5" s="185" t="s">
        <v>27</v>
      </c>
      <c r="B5" s="183" t="s">
        <v>242</v>
      </c>
      <c r="C5" s="188"/>
      <c r="D5" s="189">
        <v>1530.0</v>
      </c>
      <c r="E5" s="190"/>
      <c r="F5" s="190"/>
      <c r="G5" s="191">
        <f t="shared" ref="G5:G39" si="1">H5/D5</f>
        <v>0.9588235294</v>
      </c>
      <c r="H5" s="189">
        <v>1467.0</v>
      </c>
      <c r="I5" s="188"/>
      <c r="J5" s="188"/>
      <c r="K5" s="189"/>
      <c r="L5" s="189">
        <f t="shared" ref="L5:L8" si="2">D5-H5</f>
        <v>63</v>
      </c>
      <c r="M5" s="190"/>
      <c r="N5" s="190"/>
      <c r="O5" s="191">
        <f t="shared" ref="O5:O39" si="3">P5/D5</f>
        <v>0.7960784314</v>
      </c>
      <c r="P5" s="189">
        <v>1218.0</v>
      </c>
      <c r="Q5" s="188"/>
      <c r="R5" s="188"/>
      <c r="S5" s="189"/>
      <c r="T5" s="189"/>
      <c r="U5" s="190"/>
      <c r="V5" s="190"/>
      <c r="W5" s="191">
        <f t="shared" ref="W5:W39" si="4">X5/D5</f>
        <v>0.1150326797</v>
      </c>
      <c r="X5" s="189">
        <v>176.0</v>
      </c>
      <c r="Y5" s="190"/>
      <c r="Z5" s="190"/>
      <c r="AA5" s="191">
        <f t="shared" ref="AA5:AA39" si="5">AB5/D5</f>
        <v>0.01307189542</v>
      </c>
      <c r="AB5" s="189">
        <v>20.0</v>
      </c>
      <c r="AC5" s="188"/>
      <c r="AD5" s="189">
        <v>10044.0</v>
      </c>
      <c r="AE5" s="188"/>
      <c r="AF5" s="188"/>
      <c r="AG5" s="189"/>
      <c r="AH5" s="189">
        <v>9101.0</v>
      </c>
      <c r="AI5" s="188"/>
      <c r="AJ5" s="189">
        <f t="shared" ref="AJ5:AJ26" si="6">AD5-AH5</f>
        <v>943</v>
      </c>
      <c r="AK5" s="188"/>
      <c r="AL5" s="188"/>
      <c r="AM5" s="188"/>
      <c r="AN5" s="188"/>
      <c r="AO5" s="188"/>
      <c r="AP5" s="188"/>
      <c r="AQ5" s="189"/>
      <c r="AR5" s="189"/>
      <c r="AS5" s="189"/>
      <c r="AT5" s="189"/>
      <c r="AU5" s="189"/>
      <c r="AV5" s="189"/>
      <c r="AW5" s="188"/>
      <c r="AX5" s="188"/>
      <c r="AY5" s="191">
        <f t="shared" ref="AY5:AY39" si="7">AZ5/AD5</f>
        <v>0.3794305058</v>
      </c>
      <c r="AZ5" s="189">
        <v>3811.0</v>
      </c>
      <c r="BA5" s="192"/>
      <c r="BB5" s="192"/>
      <c r="BC5" s="193">
        <f t="shared" ref="BC5:BC39" si="8">BD5/AD5</f>
        <v>0.3306451613</v>
      </c>
      <c r="BD5" s="189">
        <v>3321.0</v>
      </c>
      <c r="BE5" s="191">
        <f t="shared" ref="BE5:BE39" si="9">BF5/AD5</f>
        <v>0.7987853445</v>
      </c>
      <c r="BF5" s="189">
        <f t="shared" ref="BF5:BF39" si="10">BH5+BI5</f>
        <v>8023</v>
      </c>
      <c r="BG5" s="188"/>
      <c r="BH5" s="189">
        <v>5725.0</v>
      </c>
      <c r="BI5" s="189">
        <v>2298.0</v>
      </c>
      <c r="BJ5" s="191">
        <f t="shared" ref="BJ5:BJ39" si="11">BK5/AD5</f>
        <v>0.2852449223</v>
      </c>
      <c r="BK5" s="189">
        <v>2865.0</v>
      </c>
      <c r="BL5" s="194"/>
      <c r="BM5" s="195">
        <v>25.24</v>
      </c>
      <c r="BN5" s="196"/>
      <c r="BO5" s="196"/>
      <c r="BP5" s="197">
        <f t="shared" ref="BP5:BP39" si="12">BQ5/D5</f>
        <v>0.8300653595</v>
      </c>
      <c r="BQ5" s="189">
        <v>1270.0</v>
      </c>
      <c r="BR5" s="196"/>
      <c r="BS5" s="196"/>
      <c r="BT5" s="197">
        <f t="shared" ref="BT5:BT39" si="13">BU5/D5</f>
        <v>0.9535947712</v>
      </c>
      <c r="BU5" s="189">
        <v>1459.0</v>
      </c>
      <c r="BV5" s="190"/>
      <c r="BW5" s="190"/>
      <c r="BX5" s="191">
        <f t="shared" ref="BX5:BX39" si="14">BY5/D5</f>
        <v>0.5862745098</v>
      </c>
      <c r="BY5" s="189">
        <v>897.0</v>
      </c>
      <c r="BZ5" s="190"/>
      <c r="CA5" s="190"/>
      <c r="CB5" s="191">
        <f t="shared" ref="CB5:CB39" si="15">CC5/D5</f>
        <v>0.5941176471</v>
      </c>
      <c r="CC5" s="189">
        <v>909.0</v>
      </c>
      <c r="CD5" s="196"/>
      <c r="CE5" s="196"/>
      <c r="CF5" s="197">
        <f t="shared" ref="CF5:CF39" si="16">CG5/D5</f>
        <v>0.814379085</v>
      </c>
      <c r="CG5" s="189">
        <v>1246.0</v>
      </c>
      <c r="CH5" s="190"/>
      <c r="CI5" s="190"/>
      <c r="CJ5" s="191">
        <f t="shared" ref="CJ5:CJ39" si="17">CK5/D5</f>
        <v>0.2967320261</v>
      </c>
      <c r="CK5" s="189">
        <v>454.0</v>
      </c>
      <c r="CL5" s="191">
        <f t="shared" ref="CL5:CL39" si="18">CM5/D5</f>
        <v>0.6196078431</v>
      </c>
      <c r="CM5" s="189">
        <v>948.0</v>
      </c>
      <c r="CN5" s="190"/>
      <c r="CO5" s="190"/>
      <c r="CP5" s="191">
        <f t="shared" ref="CP5:CP39" si="19">CQ5/D5</f>
        <v>0.7947712418</v>
      </c>
      <c r="CQ5" s="189">
        <v>1216.0</v>
      </c>
      <c r="CR5" s="190"/>
      <c r="CS5" s="190"/>
      <c r="CT5" s="191">
        <f t="shared" ref="CT5:CT39" si="20">CU5/D5</f>
        <v>0.06078431373</v>
      </c>
      <c r="CU5" s="189">
        <v>93.0</v>
      </c>
      <c r="CV5" s="190"/>
      <c r="CW5" s="190"/>
      <c r="CX5" s="191">
        <f t="shared" ref="CX5:CX39" si="21">CY5/D5</f>
        <v>0.1424836601</v>
      </c>
      <c r="CY5" s="189">
        <v>218.0</v>
      </c>
      <c r="CZ5" s="190"/>
      <c r="DA5" s="190"/>
      <c r="DB5" s="191">
        <f t="shared" ref="DB5:DB39" si="22">DC5/D5</f>
        <v>0.7980392157</v>
      </c>
      <c r="DC5" s="189">
        <v>1221.0</v>
      </c>
    </row>
    <row r="6">
      <c r="A6" s="185"/>
      <c r="B6" s="183" t="s">
        <v>243</v>
      </c>
      <c r="C6" s="188"/>
      <c r="D6" s="189">
        <v>3122.0</v>
      </c>
      <c r="E6" s="190"/>
      <c r="F6" s="190"/>
      <c r="G6" s="191">
        <f t="shared" si="1"/>
        <v>0.9272901986</v>
      </c>
      <c r="H6" s="189">
        <v>2895.0</v>
      </c>
      <c r="I6" s="188"/>
      <c r="J6" s="188"/>
      <c r="K6" s="189"/>
      <c r="L6" s="189">
        <f t="shared" si="2"/>
        <v>227</v>
      </c>
      <c r="M6" s="190"/>
      <c r="N6" s="190"/>
      <c r="O6" s="191">
        <f t="shared" si="3"/>
        <v>0.6303651505</v>
      </c>
      <c r="P6" s="189">
        <v>1968.0</v>
      </c>
      <c r="Q6" s="188"/>
      <c r="R6" s="188"/>
      <c r="S6" s="189"/>
      <c r="T6" s="189"/>
      <c r="U6" s="190"/>
      <c r="V6" s="190"/>
      <c r="W6" s="191">
        <f t="shared" si="4"/>
        <v>0.03395259449</v>
      </c>
      <c r="X6" s="189">
        <v>106.0</v>
      </c>
      <c r="Y6" s="190"/>
      <c r="Z6" s="190"/>
      <c r="AA6" s="191">
        <f t="shared" si="5"/>
        <v>0.02786675208</v>
      </c>
      <c r="AB6" s="189">
        <v>87.0</v>
      </c>
      <c r="AC6" s="188"/>
      <c r="AD6" s="189">
        <v>18620.0</v>
      </c>
      <c r="AE6" s="188"/>
      <c r="AF6" s="188"/>
      <c r="AG6" s="189"/>
      <c r="AH6" s="189">
        <v>16222.0</v>
      </c>
      <c r="AI6" s="188"/>
      <c r="AJ6" s="189">
        <f t="shared" si="6"/>
        <v>2398</v>
      </c>
      <c r="AK6" s="188"/>
      <c r="AL6" s="188"/>
      <c r="AM6" s="188"/>
      <c r="AN6" s="188"/>
      <c r="AO6" s="188"/>
      <c r="AP6" s="188"/>
      <c r="AQ6" s="189"/>
      <c r="AR6" s="189"/>
      <c r="AS6" s="189"/>
      <c r="AT6" s="189"/>
      <c r="AU6" s="189"/>
      <c r="AV6" s="189"/>
      <c r="AW6" s="188"/>
      <c r="AX6" s="188"/>
      <c r="AY6" s="191">
        <f t="shared" si="7"/>
        <v>0.2923200859</v>
      </c>
      <c r="AZ6" s="189">
        <v>5443.0</v>
      </c>
      <c r="BA6" s="192"/>
      <c r="BB6" s="192"/>
      <c r="BC6" s="193">
        <f t="shared" si="8"/>
        <v>0.1850698174</v>
      </c>
      <c r="BD6" s="189">
        <v>3446.0</v>
      </c>
      <c r="BE6" s="191">
        <f t="shared" si="9"/>
        <v>0.717132116</v>
      </c>
      <c r="BF6" s="189">
        <f t="shared" si="10"/>
        <v>13353</v>
      </c>
      <c r="BG6" s="188"/>
      <c r="BH6" s="189">
        <v>10634.0</v>
      </c>
      <c r="BI6" s="189">
        <v>2719.0</v>
      </c>
      <c r="BJ6" s="191">
        <f t="shared" si="11"/>
        <v>0.250698174</v>
      </c>
      <c r="BK6" s="189">
        <v>4668.0</v>
      </c>
      <c r="BL6" s="194"/>
      <c r="BM6" s="195">
        <v>28.65</v>
      </c>
      <c r="BN6" s="196"/>
      <c r="BO6" s="196"/>
      <c r="BP6" s="197">
        <f t="shared" si="12"/>
        <v>0.6768097373</v>
      </c>
      <c r="BQ6" s="189">
        <v>2113.0</v>
      </c>
      <c r="BR6" s="196"/>
      <c r="BS6" s="196"/>
      <c r="BT6" s="197">
        <f t="shared" si="13"/>
        <v>0.9583600256</v>
      </c>
      <c r="BU6" s="189">
        <v>2992.0</v>
      </c>
      <c r="BV6" s="190"/>
      <c r="BW6" s="190"/>
      <c r="BX6" s="191">
        <f t="shared" si="14"/>
        <v>0.6617552851</v>
      </c>
      <c r="BY6" s="189">
        <v>2066.0</v>
      </c>
      <c r="BZ6" s="190"/>
      <c r="CA6" s="190"/>
      <c r="CB6" s="191">
        <f t="shared" si="15"/>
        <v>0.7008327995</v>
      </c>
      <c r="CC6" s="189">
        <v>2188.0</v>
      </c>
      <c r="CD6" s="196"/>
      <c r="CE6" s="196"/>
      <c r="CF6" s="197">
        <f t="shared" si="16"/>
        <v>0.6374119154</v>
      </c>
      <c r="CG6" s="189">
        <v>1990.0</v>
      </c>
      <c r="CH6" s="190"/>
      <c r="CI6" s="190"/>
      <c r="CJ6" s="191">
        <f t="shared" si="17"/>
        <v>0.3228699552</v>
      </c>
      <c r="CK6" s="189">
        <v>1008.0</v>
      </c>
      <c r="CL6" s="191">
        <f t="shared" si="18"/>
        <v>0.5518898142</v>
      </c>
      <c r="CM6" s="189">
        <v>1723.0</v>
      </c>
      <c r="CN6" s="190"/>
      <c r="CO6" s="190"/>
      <c r="CP6" s="191">
        <f t="shared" si="19"/>
        <v>0.466367713</v>
      </c>
      <c r="CQ6" s="189">
        <v>1456.0</v>
      </c>
      <c r="CR6" s="190"/>
      <c r="CS6" s="190"/>
      <c r="CT6" s="191">
        <f t="shared" si="20"/>
        <v>0.02978859705</v>
      </c>
      <c r="CU6" s="189">
        <v>93.0</v>
      </c>
      <c r="CV6" s="190"/>
      <c r="CW6" s="190"/>
      <c r="CX6" s="191">
        <f t="shared" si="21"/>
        <v>0.09417040359</v>
      </c>
      <c r="CY6" s="189">
        <v>294.0</v>
      </c>
      <c r="CZ6" s="190"/>
      <c r="DA6" s="190"/>
      <c r="DB6" s="191">
        <f t="shared" si="22"/>
        <v>0.6848174247</v>
      </c>
      <c r="DC6" s="189">
        <v>2138.0</v>
      </c>
    </row>
    <row r="7">
      <c r="A7" s="185"/>
      <c r="B7" s="183" t="s">
        <v>244</v>
      </c>
      <c r="C7" s="188"/>
      <c r="D7" s="189">
        <v>1068.0</v>
      </c>
      <c r="E7" s="190"/>
      <c r="F7" s="190"/>
      <c r="G7" s="191">
        <f t="shared" si="1"/>
        <v>0.3782771536</v>
      </c>
      <c r="H7" s="189">
        <v>404.0</v>
      </c>
      <c r="I7" s="188"/>
      <c r="J7" s="188"/>
      <c r="K7" s="189"/>
      <c r="L7" s="189">
        <f t="shared" si="2"/>
        <v>664</v>
      </c>
      <c r="M7" s="190"/>
      <c r="N7" s="190"/>
      <c r="O7" s="191">
        <f t="shared" si="3"/>
        <v>0.5983146067</v>
      </c>
      <c r="P7" s="189">
        <v>639.0</v>
      </c>
      <c r="Q7" s="188"/>
      <c r="R7" s="188"/>
      <c r="S7" s="189"/>
      <c r="T7" s="189"/>
      <c r="U7" s="190"/>
      <c r="V7" s="190"/>
      <c r="W7" s="191">
        <f t="shared" si="4"/>
        <v>0.2752808989</v>
      </c>
      <c r="X7" s="189">
        <v>294.0</v>
      </c>
      <c r="Y7" s="190"/>
      <c r="Z7" s="190"/>
      <c r="AA7" s="191">
        <f t="shared" si="5"/>
        <v>0.015917603</v>
      </c>
      <c r="AB7" s="189">
        <v>17.0</v>
      </c>
      <c r="AC7" s="188"/>
      <c r="AD7" s="189">
        <v>12908.0</v>
      </c>
      <c r="AE7" s="188"/>
      <c r="AF7" s="188"/>
      <c r="AG7" s="189"/>
      <c r="AH7" s="189">
        <v>2661.0</v>
      </c>
      <c r="AI7" s="188"/>
      <c r="AJ7" s="189">
        <f t="shared" si="6"/>
        <v>10247</v>
      </c>
      <c r="AK7" s="188"/>
      <c r="AL7" s="188"/>
      <c r="AM7" s="188"/>
      <c r="AN7" s="188"/>
      <c r="AO7" s="188"/>
      <c r="AP7" s="188"/>
      <c r="AQ7" s="189"/>
      <c r="AR7" s="189"/>
      <c r="AS7" s="189"/>
      <c r="AT7" s="189"/>
      <c r="AU7" s="189"/>
      <c r="AV7" s="189"/>
      <c r="AW7" s="188"/>
      <c r="AX7" s="188"/>
      <c r="AY7" s="191">
        <f t="shared" si="7"/>
        <v>0.6846916641</v>
      </c>
      <c r="AZ7" s="189">
        <v>8838.0</v>
      </c>
      <c r="BA7" s="192"/>
      <c r="BB7" s="192"/>
      <c r="BC7" s="193">
        <f t="shared" si="8"/>
        <v>0.07592190889</v>
      </c>
      <c r="BD7" s="189">
        <v>980.0</v>
      </c>
      <c r="BE7" s="191">
        <f t="shared" si="9"/>
        <v>0.8714750542</v>
      </c>
      <c r="BF7" s="189">
        <f t="shared" si="10"/>
        <v>11249</v>
      </c>
      <c r="BG7" s="188"/>
      <c r="BH7" s="189">
        <v>5741.0</v>
      </c>
      <c r="BI7" s="189">
        <v>5508.0</v>
      </c>
      <c r="BJ7" s="191">
        <f t="shared" si="11"/>
        <v>0.3151533932</v>
      </c>
      <c r="BK7" s="189">
        <v>4068.0</v>
      </c>
      <c r="BL7" s="194"/>
      <c r="BM7" s="195">
        <v>22.71</v>
      </c>
      <c r="BN7" s="196"/>
      <c r="BO7" s="196"/>
      <c r="BP7" s="197">
        <f t="shared" si="12"/>
        <v>0.9260299625</v>
      </c>
      <c r="BQ7" s="189">
        <v>989.0</v>
      </c>
      <c r="BR7" s="196"/>
      <c r="BS7" s="196"/>
      <c r="BT7" s="197">
        <f t="shared" si="13"/>
        <v>0.8829588015</v>
      </c>
      <c r="BU7" s="189">
        <v>943.0</v>
      </c>
      <c r="BV7" s="190"/>
      <c r="BW7" s="190"/>
      <c r="BX7" s="191">
        <f t="shared" si="14"/>
        <v>0.558988764</v>
      </c>
      <c r="BY7" s="189">
        <v>597.0</v>
      </c>
      <c r="BZ7" s="190"/>
      <c r="CA7" s="190"/>
      <c r="CB7" s="191">
        <f t="shared" si="15"/>
        <v>0.5711610487</v>
      </c>
      <c r="CC7" s="189">
        <v>610.0</v>
      </c>
      <c r="CD7" s="196"/>
      <c r="CE7" s="196"/>
      <c r="CF7" s="197">
        <f t="shared" si="16"/>
        <v>0.9382022472</v>
      </c>
      <c r="CG7" s="189">
        <v>1002.0</v>
      </c>
      <c r="CH7" s="190"/>
      <c r="CI7" s="190"/>
      <c r="CJ7" s="191">
        <f t="shared" si="17"/>
        <v>0.4119850187</v>
      </c>
      <c r="CK7" s="189">
        <v>440.0</v>
      </c>
      <c r="CL7" s="191">
        <f t="shared" si="18"/>
        <v>0.4812734082</v>
      </c>
      <c r="CM7" s="189">
        <v>514.0</v>
      </c>
      <c r="CN7" s="190"/>
      <c r="CO7" s="190"/>
      <c r="CP7" s="191">
        <f t="shared" si="19"/>
        <v>0.7350187266</v>
      </c>
      <c r="CQ7" s="189">
        <v>785.0</v>
      </c>
      <c r="CR7" s="190"/>
      <c r="CS7" s="190"/>
      <c r="CT7" s="191">
        <f t="shared" si="20"/>
        <v>0.1179775281</v>
      </c>
      <c r="CU7" s="189">
        <v>126.0</v>
      </c>
      <c r="CV7" s="190"/>
      <c r="CW7" s="190"/>
      <c r="CX7" s="191">
        <f t="shared" si="21"/>
        <v>0.2284644195</v>
      </c>
      <c r="CY7" s="189">
        <v>244.0</v>
      </c>
      <c r="CZ7" s="190"/>
      <c r="DA7" s="190"/>
      <c r="DB7" s="191">
        <f t="shared" si="22"/>
        <v>0.6039325843</v>
      </c>
      <c r="DC7" s="189">
        <v>645.0</v>
      </c>
    </row>
    <row r="8">
      <c r="A8" s="185"/>
      <c r="B8" s="183" t="s">
        <v>245</v>
      </c>
      <c r="C8" s="188"/>
      <c r="D8" s="189">
        <v>2668.0</v>
      </c>
      <c r="E8" s="190"/>
      <c r="F8" s="190"/>
      <c r="G8" s="191">
        <f t="shared" si="1"/>
        <v>0.9816341829</v>
      </c>
      <c r="H8" s="189">
        <v>2619.0</v>
      </c>
      <c r="I8" s="188"/>
      <c r="J8" s="188"/>
      <c r="K8" s="189"/>
      <c r="L8" s="189">
        <f t="shared" si="2"/>
        <v>49</v>
      </c>
      <c r="M8" s="190"/>
      <c r="N8" s="190"/>
      <c r="O8" s="191">
        <f t="shared" si="3"/>
        <v>0.8077211394</v>
      </c>
      <c r="P8" s="189">
        <v>2155.0</v>
      </c>
      <c r="Q8" s="188"/>
      <c r="R8" s="188"/>
      <c r="S8" s="189"/>
      <c r="T8" s="189"/>
      <c r="U8" s="190"/>
      <c r="V8" s="190"/>
      <c r="W8" s="191">
        <f t="shared" si="4"/>
        <v>0.1000749625</v>
      </c>
      <c r="X8" s="189">
        <v>267.0</v>
      </c>
      <c r="Y8" s="196"/>
      <c r="Z8" s="196"/>
      <c r="AA8" s="197">
        <f t="shared" si="5"/>
        <v>0.004122938531</v>
      </c>
      <c r="AB8" s="189">
        <v>11.0</v>
      </c>
      <c r="AC8" s="188"/>
      <c r="AD8" s="189">
        <v>15919.0</v>
      </c>
      <c r="AE8" s="188"/>
      <c r="AF8" s="188"/>
      <c r="AG8" s="189"/>
      <c r="AH8" s="189">
        <v>15334.0</v>
      </c>
      <c r="AI8" s="188"/>
      <c r="AJ8" s="189">
        <f t="shared" si="6"/>
        <v>585</v>
      </c>
      <c r="AK8" s="188"/>
      <c r="AL8" s="188"/>
      <c r="AM8" s="188"/>
      <c r="AN8" s="188"/>
      <c r="AO8" s="188"/>
      <c r="AP8" s="188"/>
      <c r="AQ8" s="189"/>
      <c r="AR8" s="189"/>
      <c r="AS8" s="189"/>
      <c r="AT8" s="189"/>
      <c r="AU8" s="189"/>
      <c r="AV8" s="189"/>
      <c r="AW8" s="188"/>
      <c r="AX8" s="188"/>
      <c r="AY8" s="191">
        <f t="shared" si="7"/>
        <v>0.3981405867</v>
      </c>
      <c r="AZ8" s="189">
        <v>6338.0</v>
      </c>
      <c r="BA8" s="192"/>
      <c r="BB8" s="192"/>
      <c r="BC8" s="193">
        <f t="shared" si="8"/>
        <v>0.1617563917</v>
      </c>
      <c r="BD8" s="189">
        <v>2575.0</v>
      </c>
      <c r="BE8" s="191">
        <f t="shared" si="9"/>
        <v>0.7658772536</v>
      </c>
      <c r="BF8" s="189">
        <f t="shared" si="10"/>
        <v>12192</v>
      </c>
      <c r="BG8" s="188"/>
      <c r="BH8" s="189">
        <v>8899.0</v>
      </c>
      <c r="BI8" s="189">
        <v>3293.0</v>
      </c>
      <c r="BJ8" s="191">
        <f t="shared" si="11"/>
        <v>0.2467491677</v>
      </c>
      <c r="BK8" s="189">
        <v>3928.0</v>
      </c>
      <c r="BL8" s="194"/>
      <c r="BM8" s="195">
        <v>22.03</v>
      </c>
      <c r="BN8" s="196"/>
      <c r="BO8" s="196"/>
      <c r="BP8" s="197">
        <f t="shared" si="12"/>
        <v>0.8665667166</v>
      </c>
      <c r="BQ8" s="189">
        <v>2312.0</v>
      </c>
      <c r="BR8" s="196"/>
      <c r="BS8" s="196"/>
      <c r="BT8" s="197">
        <f t="shared" si="13"/>
        <v>0.9673913043</v>
      </c>
      <c r="BU8" s="189">
        <v>2581.0</v>
      </c>
      <c r="BV8" s="190"/>
      <c r="BW8" s="190"/>
      <c r="BX8" s="191">
        <f t="shared" si="14"/>
        <v>0.6574212894</v>
      </c>
      <c r="BY8" s="189">
        <v>1754.0</v>
      </c>
      <c r="BZ8" s="190"/>
      <c r="CA8" s="190"/>
      <c r="CB8" s="191">
        <f t="shared" si="15"/>
        <v>0.7931034483</v>
      </c>
      <c r="CC8" s="189">
        <v>2116.0</v>
      </c>
      <c r="CD8" s="196"/>
      <c r="CE8" s="196"/>
      <c r="CF8" s="197">
        <f t="shared" si="16"/>
        <v>0.8733133433</v>
      </c>
      <c r="CG8" s="189">
        <v>2330.0</v>
      </c>
      <c r="CH8" s="190"/>
      <c r="CI8" s="190"/>
      <c r="CJ8" s="191">
        <f t="shared" si="17"/>
        <v>0.3129685157</v>
      </c>
      <c r="CK8" s="189">
        <v>835.0</v>
      </c>
      <c r="CL8" s="191">
        <f t="shared" si="18"/>
        <v>0.7353823088</v>
      </c>
      <c r="CM8" s="189">
        <v>1962.0</v>
      </c>
      <c r="CN8" s="190"/>
      <c r="CO8" s="190"/>
      <c r="CP8" s="191">
        <f t="shared" si="19"/>
        <v>0.8317091454</v>
      </c>
      <c r="CQ8" s="189">
        <v>2219.0</v>
      </c>
      <c r="CR8" s="190"/>
      <c r="CS8" s="190"/>
      <c r="CT8" s="191">
        <f t="shared" si="20"/>
        <v>0.03223388306</v>
      </c>
      <c r="CU8" s="189">
        <v>86.0</v>
      </c>
      <c r="CV8" s="190"/>
      <c r="CW8" s="190"/>
      <c r="CX8" s="191">
        <f t="shared" si="21"/>
        <v>0.06184407796</v>
      </c>
      <c r="CY8" s="189">
        <v>165.0</v>
      </c>
      <c r="CZ8" s="190"/>
      <c r="DA8" s="190"/>
      <c r="DB8" s="191">
        <f t="shared" si="22"/>
        <v>0.7942278861</v>
      </c>
      <c r="DC8" s="189">
        <v>2119.0</v>
      </c>
    </row>
    <row r="9">
      <c r="A9" s="177"/>
      <c r="B9" s="178" t="s">
        <v>246</v>
      </c>
      <c r="C9" s="198">
        <v>66324.0</v>
      </c>
      <c r="D9" s="199">
        <v>60859.0</v>
      </c>
      <c r="E9" s="200"/>
      <c r="F9" s="201">
        <v>62373.0</v>
      </c>
      <c r="G9" s="202">
        <f t="shared" si="1"/>
        <v>0.9443632002</v>
      </c>
      <c r="H9" s="199">
        <v>57473.0</v>
      </c>
      <c r="I9" s="203"/>
      <c r="J9" s="203"/>
      <c r="K9" s="199"/>
      <c r="L9" s="199">
        <v>3386.0</v>
      </c>
      <c r="M9" s="204"/>
      <c r="N9" s="204"/>
      <c r="O9" s="202">
        <f t="shared" si="3"/>
        <v>0.7457894477</v>
      </c>
      <c r="P9" s="205">
        <v>45388.0</v>
      </c>
      <c r="Q9" s="206"/>
      <c r="R9" s="206"/>
      <c r="S9" s="205"/>
      <c r="T9" s="205"/>
      <c r="U9" s="204"/>
      <c r="V9" s="204"/>
      <c r="W9" s="202">
        <f t="shared" si="4"/>
        <v>0.09615669005</v>
      </c>
      <c r="X9" s="205">
        <v>5852.0</v>
      </c>
      <c r="Y9" s="204"/>
      <c r="Z9" s="204"/>
      <c r="AA9" s="202">
        <f t="shared" si="5"/>
        <v>0.05522601423</v>
      </c>
      <c r="AB9" s="205">
        <v>3361.0</v>
      </c>
      <c r="AC9" s="206"/>
      <c r="AD9" s="205">
        <v>352944.0</v>
      </c>
      <c r="AE9" s="206"/>
      <c r="AF9" s="206"/>
      <c r="AG9" s="205"/>
      <c r="AH9" s="205">
        <v>306838.0</v>
      </c>
      <c r="AI9" s="206"/>
      <c r="AJ9" s="205">
        <f t="shared" si="6"/>
        <v>46106</v>
      </c>
      <c r="AK9" s="206"/>
      <c r="AL9" s="206"/>
      <c r="AM9" s="206"/>
      <c r="AN9" s="206"/>
      <c r="AO9" s="206"/>
      <c r="AP9" s="206"/>
      <c r="AQ9" s="205"/>
      <c r="AR9" s="205"/>
      <c r="AS9" s="205"/>
      <c r="AT9" s="205"/>
      <c r="AU9" s="205"/>
      <c r="AV9" s="205"/>
      <c r="AW9" s="206"/>
      <c r="AX9" s="206"/>
      <c r="AY9" s="202">
        <f t="shared" si="7"/>
        <v>0.4101273856</v>
      </c>
      <c r="AZ9" s="199">
        <v>144752.0</v>
      </c>
      <c r="BA9" s="207"/>
      <c r="BB9" s="207"/>
      <c r="BC9" s="208">
        <f t="shared" si="8"/>
        <v>0.197331588</v>
      </c>
      <c r="BD9" s="199">
        <v>69647.0</v>
      </c>
      <c r="BE9" s="202">
        <f t="shared" si="9"/>
        <v>0.7076816719</v>
      </c>
      <c r="BF9" s="199">
        <f t="shared" si="10"/>
        <v>249772</v>
      </c>
      <c r="BG9" s="203"/>
      <c r="BH9" s="199">
        <v>180120.0</v>
      </c>
      <c r="BI9" s="199">
        <v>69652.0</v>
      </c>
      <c r="BJ9" s="202">
        <f t="shared" si="11"/>
        <v>0.340170112</v>
      </c>
      <c r="BK9" s="199">
        <v>120061.0</v>
      </c>
      <c r="BL9" s="203"/>
      <c r="BM9" s="199">
        <v>23.0</v>
      </c>
      <c r="BN9" s="209"/>
      <c r="BO9" s="209"/>
      <c r="BP9" s="210">
        <f t="shared" si="12"/>
        <v>0.615652574</v>
      </c>
      <c r="BQ9" s="205">
        <v>37468.0</v>
      </c>
      <c r="BR9" s="209"/>
      <c r="BS9" s="209"/>
      <c r="BT9" s="210">
        <f t="shared" si="13"/>
        <v>0.9133571041</v>
      </c>
      <c r="BU9" s="205">
        <v>55586.0</v>
      </c>
      <c r="BV9" s="204"/>
      <c r="BW9" s="204"/>
      <c r="BX9" s="202">
        <f t="shared" si="14"/>
        <v>0.7649813503</v>
      </c>
      <c r="BY9" s="205">
        <v>46556.0</v>
      </c>
      <c r="BZ9" s="204"/>
      <c r="CA9" s="204"/>
      <c r="CB9" s="202">
        <f t="shared" si="15"/>
        <v>0.8242002005</v>
      </c>
      <c r="CC9" s="205">
        <v>50160.0</v>
      </c>
      <c r="CD9" s="209"/>
      <c r="CE9" s="209"/>
      <c r="CF9" s="210">
        <f t="shared" si="16"/>
        <v>0.7506367177</v>
      </c>
      <c r="CG9" s="205">
        <v>45683.0</v>
      </c>
      <c r="CH9" s="204"/>
      <c r="CI9" s="204"/>
      <c r="CJ9" s="202">
        <f t="shared" si="17"/>
        <v>0.2894066613</v>
      </c>
      <c r="CK9" s="205">
        <v>17613.0</v>
      </c>
      <c r="CL9" s="202">
        <f t="shared" si="18"/>
        <v>0.615652574</v>
      </c>
      <c r="CM9" s="205">
        <v>37468.0</v>
      </c>
      <c r="CN9" s="204"/>
      <c r="CO9" s="204"/>
      <c r="CP9" s="202">
        <f t="shared" si="19"/>
        <v>0.7251022856</v>
      </c>
      <c r="CQ9" s="205">
        <v>44129.0</v>
      </c>
      <c r="CR9" s="204"/>
      <c r="CS9" s="204"/>
      <c r="CT9" s="202">
        <f t="shared" si="20"/>
        <v>0.0982927751</v>
      </c>
      <c r="CU9" s="205">
        <v>5982.0</v>
      </c>
      <c r="CV9" s="204"/>
      <c r="CW9" s="204"/>
      <c r="CX9" s="202">
        <f t="shared" si="21"/>
        <v>0.1170903235</v>
      </c>
      <c r="CY9" s="205">
        <v>7126.0</v>
      </c>
      <c r="CZ9" s="204"/>
      <c r="DA9" s="204"/>
      <c r="DB9" s="202">
        <f t="shared" si="22"/>
        <v>0.6953285463</v>
      </c>
      <c r="DC9" s="205">
        <v>42317.0</v>
      </c>
    </row>
    <row r="10">
      <c r="A10" s="185" t="s">
        <v>29</v>
      </c>
      <c r="B10" s="183" t="s">
        <v>247</v>
      </c>
      <c r="C10" s="188"/>
      <c r="D10" s="189">
        <v>3964.0</v>
      </c>
      <c r="E10" s="190"/>
      <c r="F10" s="190"/>
      <c r="G10" s="191">
        <f t="shared" si="1"/>
        <v>0.9202825429</v>
      </c>
      <c r="H10" s="189">
        <v>3648.0</v>
      </c>
      <c r="I10" s="188"/>
      <c r="J10" s="188"/>
      <c r="K10" s="189"/>
      <c r="L10" s="189">
        <f t="shared" ref="L10:L12" si="23">D10-H10</f>
        <v>316</v>
      </c>
      <c r="M10" s="190"/>
      <c r="N10" s="190"/>
      <c r="O10" s="191">
        <f t="shared" si="3"/>
        <v>0.8206357215</v>
      </c>
      <c r="P10" s="189">
        <v>3253.0</v>
      </c>
      <c r="Q10" s="188"/>
      <c r="R10" s="188"/>
      <c r="S10" s="189"/>
      <c r="T10" s="189"/>
      <c r="U10" s="190"/>
      <c r="V10" s="190"/>
      <c r="W10" s="191">
        <f t="shared" si="4"/>
        <v>0.04414732593</v>
      </c>
      <c r="X10" s="189">
        <v>175.0</v>
      </c>
      <c r="Y10" s="190"/>
      <c r="Z10" s="190"/>
      <c r="AA10" s="191">
        <f t="shared" si="5"/>
        <v>0.0587790111</v>
      </c>
      <c r="AB10" s="189">
        <v>233.0</v>
      </c>
      <c r="AC10" s="188"/>
      <c r="AD10" s="189">
        <v>25225.0</v>
      </c>
      <c r="AE10" s="188"/>
      <c r="AF10" s="188"/>
      <c r="AG10" s="189"/>
      <c r="AH10" s="189">
        <v>21773.0</v>
      </c>
      <c r="AI10" s="188"/>
      <c r="AJ10" s="189">
        <f t="shared" si="6"/>
        <v>3452</v>
      </c>
      <c r="AK10" s="188"/>
      <c r="AL10" s="188"/>
      <c r="AM10" s="188"/>
      <c r="AN10" s="188"/>
      <c r="AO10" s="188"/>
      <c r="AP10" s="188"/>
      <c r="AQ10" s="189"/>
      <c r="AR10" s="189"/>
      <c r="AS10" s="189"/>
      <c r="AT10" s="189"/>
      <c r="AU10" s="189"/>
      <c r="AV10" s="189"/>
      <c r="AW10" s="188"/>
      <c r="AX10" s="188"/>
      <c r="AY10" s="191">
        <f t="shared" si="7"/>
        <v>0.4440832507</v>
      </c>
      <c r="AZ10" s="189">
        <v>11202.0</v>
      </c>
      <c r="BA10" s="192"/>
      <c r="BB10" s="192"/>
      <c r="BC10" s="193">
        <f t="shared" si="8"/>
        <v>0.01962338949</v>
      </c>
      <c r="BD10" s="189">
        <v>495.0</v>
      </c>
      <c r="BE10" s="191">
        <f t="shared" si="9"/>
        <v>0.7672943508</v>
      </c>
      <c r="BF10" s="189">
        <f t="shared" si="10"/>
        <v>19355</v>
      </c>
      <c r="BG10" s="188"/>
      <c r="BH10" s="189">
        <v>11191.0</v>
      </c>
      <c r="BI10" s="189">
        <v>8164.0</v>
      </c>
      <c r="BJ10" s="191">
        <f t="shared" si="11"/>
        <v>0.01209117939</v>
      </c>
      <c r="BK10" s="189">
        <v>305.0</v>
      </c>
      <c r="BL10" s="194"/>
      <c r="BM10" s="195">
        <v>57.82</v>
      </c>
      <c r="BN10" s="196"/>
      <c r="BO10" s="196"/>
      <c r="BP10" s="197">
        <f t="shared" si="12"/>
        <v>0.8723511604</v>
      </c>
      <c r="BQ10" s="189">
        <v>3458.0</v>
      </c>
      <c r="BR10" s="196"/>
      <c r="BS10" s="196"/>
      <c r="BT10" s="197">
        <f t="shared" si="13"/>
        <v>0.9800706357</v>
      </c>
      <c r="BU10" s="189">
        <v>3885.0</v>
      </c>
      <c r="BV10" s="190"/>
      <c r="BW10" s="190"/>
      <c r="BX10" s="191">
        <f t="shared" si="14"/>
        <v>0.7020686176</v>
      </c>
      <c r="BY10" s="189">
        <v>2783.0</v>
      </c>
      <c r="BZ10" s="190"/>
      <c r="CA10" s="190"/>
      <c r="CB10" s="191">
        <f t="shared" si="15"/>
        <v>0.7071140262</v>
      </c>
      <c r="CC10" s="189">
        <v>2803.0</v>
      </c>
      <c r="CD10" s="196"/>
      <c r="CE10" s="196"/>
      <c r="CF10" s="197">
        <f t="shared" si="16"/>
        <v>0.7386478305</v>
      </c>
      <c r="CG10" s="189">
        <v>2928.0</v>
      </c>
      <c r="CH10" s="190"/>
      <c r="CI10" s="190"/>
      <c r="CJ10" s="191">
        <f t="shared" si="17"/>
        <v>0.4339051463</v>
      </c>
      <c r="CK10" s="189">
        <v>1720.0</v>
      </c>
      <c r="CL10" s="191">
        <f t="shared" si="18"/>
        <v>0.2103935419</v>
      </c>
      <c r="CM10" s="189">
        <v>834.0</v>
      </c>
      <c r="CN10" s="190"/>
      <c r="CO10" s="190"/>
      <c r="CP10" s="191">
        <f t="shared" si="19"/>
        <v>0.2580726539</v>
      </c>
      <c r="CQ10" s="189">
        <v>1023.0</v>
      </c>
      <c r="CR10" s="190"/>
      <c r="CS10" s="190"/>
      <c r="CT10" s="191">
        <f t="shared" si="20"/>
        <v>0.06079717457</v>
      </c>
      <c r="CU10" s="189">
        <v>241.0</v>
      </c>
      <c r="CV10" s="190"/>
      <c r="CW10" s="190"/>
      <c r="CX10" s="191">
        <f t="shared" si="21"/>
        <v>0.1654894046</v>
      </c>
      <c r="CY10" s="189">
        <v>656.0</v>
      </c>
      <c r="CZ10" s="190"/>
      <c r="DA10" s="190"/>
      <c r="DB10" s="191">
        <f t="shared" si="22"/>
        <v>0.2320887992</v>
      </c>
      <c r="DC10" s="189">
        <v>920.0</v>
      </c>
    </row>
    <row r="11">
      <c r="A11" s="185"/>
      <c r="B11" s="183" t="s">
        <v>248</v>
      </c>
      <c r="C11" s="188"/>
      <c r="D11" s="189">
        <v>2889.0</v>
      </c>
      <c r="E11" s="190"/>
      <c r="F11" s="190"/>
      <c r="G11" s="191">
        <f t="shared" si="1"/>
        <v>0.8805815161</v>
      </c>
      <c r="H11" s="189">
        <v>2544.0</v>
      </c>
      <c r="I11" s="188"/>
      <c r="J11" s="188"/>
      <c r="K11" s="189"/>
      <c r="L11" s="189">
        <f t="shared" si="23"/>
        <v>345</v>
      </c>
      <c r="M11" s="190"/>
      <c r="N11" s="190"/>
      <c r="O11" s="191">
        <f t="shared" si="3"/>
        <v>0.8037383178</v>
      </c>
      <c r="P11" s="189">
        <v>2322.0</v>
      </c>
      <c r="Q11" s="188"/>
      <c r="R11" s="188"/>
      <c r="S11" s="189"/>
      <c r="T11" s="189"/>
      <c r="U11" s="190"/>
      <c r="V11" s="190"/>
      <c r="W11" s="191">
        <f t="shared" si="4"/>
        <v>0.06611284181</v>
      </c>
      <c r="X11" s="189">
        <v>191.0</v>
      </c>
      <c r="Y11" s="190"/>
      <c r="Z11" s="190"/>
      <c r="AA11" s="191">
        <f t="shared" si="5"/>
        <v>0.1166493596</v>
      </c>
      <c r="AB11" s="189">
        <v>337.0</v>
      </c>
      <c r="AC11" s="188"/>
      <c r="AD11" s="189">
        <v>15881.0</v>
      </c>
      <c r="AE11" s="188"/>
      <c r="AF11" s="188"/>
      <c r="AG11" s="189"/>
      <c r="AH11" s="189">
        <v>12252.0</v>
      </c>
      <c r="AI11" s="188"/>
      <c r="AJ11" s="189">
        <f t="shared" si="6"/>
        <v>3629</v>
      </c>
      <c r="AK11" s="188"/>
      <c r="AL11" s="188"/>
      <c r="AM11" s="188"/>
      <c r="AN11" s="188"/>
      <c r="AO11" s="188"/>
      <c r="AP11" s="188"/>
      <c r="AQ11" s="189"/>
      <c r="AR11" s="189"/>
      <c r="AS11" s="189"/>
      <c r="AT11" s="189"/>
      <c r="AU11" s="189"/>
      <c r="AV11" s="189"/>
      <c r="AW11" s="188"/>
      <c r="AX11" s="188"/>
      <c r="AY11" s="191">
        <f t="shared" si="7"/>
        <v>0.3694351741</v>
      </c>
      <c r="AZ11" s="189">
        <v>5867.0</v>
      </c>
      <c r="BA11" s="192"/>
      <c r="BB11" s="192"/>
      <c r="BC11" s="193">
        <f t="shared" si="8"/>
        <v>0.026194824</v>
      </c>
      <c r="BD11" s="189">
        <v>416.0</v>
      </c>
      <c r="BE11" s="191">
        <f t="shared" si="9"/>
        <v>0.5890057301</v>
      </c>
      <c r="BF11" s="189">
        <f t="shared" si="10"/>
        <v>9354</v>
      </c>
      <c r="BG11" s="188"/>
      <c r="BH11" s="189">
        <v>6149.0</v>
      </c>
      <c r="BI11" s="189">
        <v>3205.0</v>
      </c>
      <c r="BJ11" s="191">
        <f t="shared" si="11"/>
        <v>0.03501038977</v>
      </c>
      <c r="BK11" s="189">
        <v>556.0</v>
      </c>
      <c r="BL11" s="194"/>
      <c r="BM11" s="195">
        <v>74.45</v>
      </c>
      <c r="BN11" s="196"/>
      <c r="BO11" s="196"/>
      <c r="BP11" s="197">
        <f t="shared" si="12"/>
        <v>0.9920387677</v>
      </c>
      <c r="BQ11" s="189">
        <v>2866.0</v>
      </c>
      <c r="BR11" s="196"/>
      <c r="BS11" s="196"/>
      <c r="BT11" s="197">
        <f t="shared" si="13"/>
        <v>1</v>
      </c>
      <c r="BU11" s="189">
        <v>2889.0</v>
      </c>
      <c r="BV11" s="190"/>
      <c r="BW11" s="190"/>
      <c r="BX11" s="191">
        <f t="shared" si="14"/>
        <v>0.7130494981</v>
      </c>
      <c r="BY11" s="189">
        <v>2060.0</v>
      </c>
      <c r="BZ11" s="190"/>
      <c r="CA11" s="190"/>
      <c r="CB11" s="191">
        <f t="shared" si="15"/>
        <v>0.7120110765</v>
      </c>
      <c r="CC11" s="189">
        <v>2057.0</v>
      </c>
      <c r="CD11" s="196"/>
      <c r="CE11" s="196"/>
      <c r="CF11" s="197">
        <f t="shared" si="16"/>
        <v>0.9373485635</v>
      </c>
      <c r="CG11" s="189">
        <v>2708.0</v>
      </c>
      <c r="CH11" s="190"/>
      <c r="CI11" s="190"/>
      <c r="CJ11" s="191">
        <f t="shared" si="17"/>
        <v>0.5870543441</v>
      </c>
      <c r="CK11" s="189">
        <v>1696.0</v>
      </c>
      <c r="CL11" s="191">
        <f t="shared" si="18"/>
        <v>0.392177224</v>
      </c>
      <c r="CM11" s="189">
        <v>1133.0</v>
      </c>
      <c r="CN11" s="190"/>
      <c r="CO11" s="190"/>
      <c r="CP11" s="191">
        <f t="shared" si="19"/>
        <v>0.8705434406</v>
      </c>
      <c r="CQ11" s="189">
        <v>2515.0</v>
      </c>
      <c r="CR11" s="190"/>
      <c r="CS11" s="190"/>
      <c r="CT11" s="191">
        <f t="shared" si="20"/>
        <v>0.06853582555</v>
      </c>
      <c r="CU11" s="189">
        <v>198.0</v>
      </c>
      <c r="CV11" s="190"/>
      <c r="CW11" s="190"/>
      <c r="CX11" s="191">
        <f t="shared" si="21"/>
        <v>0.06611284181</v>
      </c>
      <c r="CY11" s="189">
        <v>191.0</v>
      </c>
      <c r="CZ11" s="190"/>
      <c r="DA11" s="190"/>
      <c r="DB11" s="191">
        <f t="shared" si="22"/>
        <v>0.3122187608</v>
      </c>
      <c r="DC11" s="189">
        <v>902.0</v>
      </c>
    </row>
    <row r="12">
      <c r="A12" s="185"/>
      <c r="B12" s="183" t="s">
        <v>249</v>
      </c>
      <c r="C12" s="188"/>
      <c r="D12" s="189">
        <v>4779.0</v>
      </c>
      <c r="E12" s="190"/>
      <c r="F12" s="190"/>
      <c r="G12" s="191">
        <f t="shared" si="1"/>
        <v>0.6995187278</v>
      </c>
      <c r="H12" s="189">
        <v>3343.0</v>
      </c>
      <c r="I12" s="188"/>
      <c r="J12" s="188"/>
      <c r="K12" s="189"/>
      <c r="L12" s="189">
        <f t="shared" si="23"/>
        <v>1436</v>
      </c>
      <c r="M12" s="190"/>
      <c r="N12" s="190"/>
      <c r="O12" s="191">
        <f t="shared" si="3"/>
        <v>0.7302783009</v>
      </c>
      <c r="P12" s="189">
        <v>3490.0</v>
      </c>
      <c r="Q12" s="188"/>
      <c r="R12" s="188"/>
      <c r="S12" s="189"/>
      <c r="T12" s="189"/>
      <c r="U12" s="190"/>
      <c r="V12" s="190"/>
      <c r="W12" s="191">
        <f t="shared" si="4"/>
        <v>0.09583594894</v>
      </c>
      <c r="X12" s="189">
        <v>458.0</v>
      </c>
      <c r="Y12" s="190"/>
      <c r="Z12" s="190"/>
      <c r="AA12" s="191">
        <f t="shared" si="5"/>
        <v>0.05545093116</v>
      </c>
      <c r="AB12" s="189">
        <v>265.0</v>
      </c>
      <c r="AC12" s="188"/>
      <c r="AD12" s="189">
        <v>36224.0</v>
      </c>
      <c r="AE12" s="188"/>
      <c r="AF12" s="188"/>
      <c r="AG12" s="189"/>
      <c r="AH12" s="189">
        <v>19915.0</v>
      </c>
      <c r="AI12" s="188"/>
      <c r="AJ12" s="189">
        <f t="shared" si="6"/>
        <v>16309</v>
      </c>
      <c r="AK12" s="188"/>
      <c r="AL12" s="188"/>
      <c r="AM12" s="188"/>
      <c r="AN12" s="188"/>
      <c r="AO12" s="188"/>
      <c r="AP12" s="188"/>
      <c r="AQ12" s="189"/>
      <c r="AR12" s="189"/>
      <c r="AS12" s="189"/>
      <c r="AT12" s="189"/>
      <c r="AU12" s="189"/>
      <c r="AV12" s="189"/>
      <c r="AW12" s="188"/>
      <c r="AX12" s="188"/>
      <c r="AY12" s="191">
        <f t="shared" si="7"/>
        <v>0.5012974823</v>
      </c>
      <c r="AZ12" s="189">
        <v>18159.0</v>
      </c>
      <c r="BA12" s="192"/>
      <c r="BB12" s="192"/>
      <c r="BC12" s="193">
        <f t="shared" si="8"/>
        <v>0.02989730565</v>
      </c>
      <c r="BD12" s="189">
        <v>1083.0</v>
      </c>
      <c r="BE12" s="191">
        <f t="shared" si="9"/>
        <v>0.8105399735</v>
      </c>
      <c r="BF12" s="189">
        <f t="shared" si="10"/>
        <v>29361</v>
      </c>
      <c r="BG12" s="188"/>
      <c r="BH12" s="189">
        <v>16526.0</v>
      </c>
      <c r="BI12" s="189">
        <v>12835.0</v>
      </c>
      <c r="BJ12" s="191">
        <f t="shared" si="11"/>
        <v>0.1117491166</v>
      </c>
      <c r="BK12" s="189">
        <v>4048.0</v>
      </c>
      <c r="BL12" s="194"/>
      <c r="BM12" s="195">
        <v>44.85</v>
      </c>
      <c r="BN12" s="196"/>
      <c r="BO12" s="196"/>
      <c r="BP12" s="197">
        <f t="shared" si="12"/>
        <v>0.8633605357</v>
      </c>
      <c r="BQ12" s="189">
        <v>4126.0</v>
      </c>
      <c r="BR12" s="196"/>
      <c r="BS12" s="196"/>
      <c r="BT12" s="197">
        <f t="shared" si="13"/>
        <v>0.9924670433</v>
      </c>
      <c r="BU12" s="189">
        <v>4743.0</v>
      </c>
      <c r="BV12" s="190"/>
      <c r="BW12" s="190"/>
      <c r="BX12" s="191">
        <f t="shared" si="14"/>
        <v>0.6306758736</v>
      </c>
      <c r="BY12" s="189">
        <v>3014.0</v>
      </c>
      <c r="BZ12" s="190"/>
      <c r="CA12" s="190"/>
      <c r="CB12" s="191">
        <f t="shared" si="15"/>
        <v>0.6474157774</v>
      </c>
      <c r="CC12" s="189">
        <v>3094.0</v>
      </c>
      <c r="CD12" s="196"/>
      <c r="CE12" s="196"/>
      <c r="CF12" s="197">
        <f t="shared" si="16"/>
        <v>0.9813768571</v>
      </c>
      <c r="CG12" s="189">
        <v>4690.0</v>
      </c>
      <c r="CH12" s="190"/>
      <c r="CI12" s="190"/>
      <c r="CJ12" s="191">
        <f t="shared" si="17"/>
        <v>0.7472274534</v>
      </c>
      <c r="CK12" s="189">
        <v>3571.0</v>
      </c>
      <c r="CL12" s="191">
        <f t="shared" si="18"/>
        <v>0.1213643022</v>
      </c>
      <c r="CM12" s="189">
        <v>580.0</v>
      </c>
      <c r="CN12" s="190"/>
      <c r="CO12" s="190"/>
      <c r="CP12" s="191">
        <f t="shared" si="19"/>
        <v>0.3193136639</v>
      </c>
      <c r="CQ12" s="189">
        <v>1526.0</v>
      </c>
      <c r="CR12" s="190"/>
      <c r="CS12" s="190"/>
      <c r="CT12" s="191">
        <f t="shared" si="20"/>
        <v>0.1077631304</v>
      </c>
      <c r="CU12" s="189">
        <v>515.0</v>
      </c>
      <c r="CV12" s="190"/>
      <c r="CW12" s="190"/>
      <c r="CX12" s="191">
        <f t="shared" si="21"/>
        <v>0.1922996443</v>
      </c>
      <c r="CY12" s="189">
        <v>919.0</v>
      </c>
      <c r="CZ12" s="190"/>
      <c r="DA12" s="190"/>
      <c r="DB12" s="191">
        <f t="shared" si="22"/>
        <v>0.3674408872</v>
      </c>
      <c r="DC12" s="189">
        <v>1756.0</v>
      </c>
    </row>
    <row r="13">
      <c r="A13" s="177"/>
      <c r="B13" s="178" t="s">
        <v>246</v>
      </c>
      <c r="C13" s="203">
        <v>89224.0</v>
      </c>
      <c r="D13" s="199">
        <v>93165.0</v>
      </c>
      <c r="E13" s="204"/>
      <c r="F13" s="204"/>
      <c r="G13" s="202">
        <f t="shared" si="1"/>
        <v>0.9020554929</v>
      </c>
      <c r="H13" s="199">
        <v>84040.0</v>
      </c>
      <c r="I13" s="203"/>
      <c r="J13" s="203"/>
      <c r="K13" s="199"/>
      <c r="L13" s="199">
        <v>9125.0</v>
      </c>
      <c r="M13" s="204"/>
      <c r="N13" s="204"/>
      <c r="O13" s="202">
        <f t="shared" si="3"/>
        <v>0.8091879998</v>
      </c>
      <c r="P13" s="205">
        <v>75388.0</v>
      </c>
      <c r="Q13" s="206"/>
      <c r="R13" s="206"/>
      <c r="S13" s="205"/>
      <c r="T13" s="205"/>
      <c r="U13" s="204"/>
      <c r="V13" s="204"/>
      <c r="W13" s="202">
        <f t="shared" si="4"/>
        <v>0.0869103204</v>
      </c>
      <c r="X13" s="205">
        <v>8097.0</v>
      </c>
      <c r="Y13" s="204"/>
      <c r="Z13" s="204"/>
      <c r="AA13" s="202">
        <f t="shared" si="5"/>
        <v>0.05610476037</v>
      </c>
      <c r="AB13" s="205">
        <v>5227.0</v>
      </c>
      <c r="AC13" s="206"/>
      <c r="AD13" s="205">
        <v>582876.0</v>
      </c>
      <c r="AE13" s="206"/>
      <c r="AF13" s="206"/>
      <c r="AG13" s="205"/>
      <c r="AH13" s="205">
        <v>490913.0</v>
      </c>
      <c r="AI13" s="206"/>
      <c r="AJ13" s="205">
        <f t="shared" si="6"/>
        <v>91963</v>
      </c>
      <c r="AK13" s="206"/>
      <c r="AL13" s="206"/>
      <c r="AM13" s="206"/>
      <c r="AN13" s="206"/>
      <c r="AO13" s="206"/>
      <c r="AP13" s="206"/>
      <c r="AQ13" s="205"/>
      <c r="AR13" s="205"/>
      <c r="AS13" s="205"/>
      <c r="AT13" s="205"/>
      <c r="AU13" s="205"/>
      <c r="AV13" s="205"/>
      <c r="AW13" s="206"/>
      <c r="AX13" s="206"/>
      <c r="AY13" s="202">
        <f t="shared" si="7"/>
        <v>0.4026859915</v>
      </c>
      <c r="AZ13" s="199">
        <v>234716.0</v>
      </c>
      <c r="BA13" s="207"/>
      <c r="BB13" s="207"/>
      <c r="BC13" s="208">
        <f t="shared" si="8"/>
        <v>0.04484315704</v>
      </c>
      <c r="BD13" s="199">
        <v>26138.0</v>
      </c>
      <c r="BE13" s="202">
        <f t="shared" si="9"/>
        <v>0.6668142109</v>
      </c>
      <c r="BF13" s="199">
        <f t="shared" si="10"/>
        <v>388670</v>
      </c>
      <c r="BG13" s="203"/>
      <c r="BH13" s="199">
        <v>229086.0</v>
      </c>
      <c r="BI13" s="199">
        <v>159584.0</v>
      </c>
      <c r="BJ13" s="202">
        <f t="shared" si="11"/>
        <v>0.1483437301</v>
      </c>
      <c r="BK13" s="199">
        <v>86466.0</v>
      </c>
      <c r="BL13" s="203"/>
      <c r="BM13" s="199">
        <v>53.0</v>
      </c>
      <c r="BN13" s="209"/>
      <c r="BO13" s="209"/>
      <c r="BP13" s="210">
        <f t="shared" si="12"/>
        <v>0.9745719959</v>
      </c>
      <c r="BQ13" s="205">
        <v>90796.0</v>
      </c>
      <c r="BR13" s="209"/>
      <c r="BS13" s="209"/>
      <c r="BT13" s="210">
        <f t="shared" si="13"/>
        <v>0.9926045189</v>
      </c>
      <c r="BU13" s="205">
        <v>92476.0</v>
      </c>
      <c r="BV13" s="204"/>
      <c r="BW13" s="204"/>
      <c r="BX13" s="202">
        <f t="shared" si="14"/>
        <v>0.9553158375</v>
      </c>
      <c r="BY13" s="205">
        <v>89002.0</v>
      </c>
      <c r="BZ13" s="204"/>
      <c r="CA13" s="204"/>
      <c r="CB13" s="202">
        <f t="shared" si="15"/>
        <v>0.9745719959</v>
      </c>
      <c r="CC13" s="205">
        <v>90796.0</v>
      </c>
      <c r="CD13" s="209"/>
      <c r="CE13" s="209"/>
      <c r="CF13" s="210">
        <f t="shared" si="16"/>
        <v>0.8754789889</v>
      </c>
      <c r="CG13" s="205">
        <v>81564.0</v>
      </c>
      <c r="CH13" s="204"/>
      <c r="CI13" s="204"/>
      <c r="CJ13" s="202">
        <f t="shared" si="17"/>
        <v>0.58816079</v>
      </c>
      <c r="CK13" s="205">
        <v>54796.0</v>
      </c>
      <c r="CL13" s="202">
        <f t="shared" si="18"/>
        <v>0.3751301454</v>
      </c>
      <c r="CM13" s="205">
        <v>34949.0</v>
      </c>
      <c r="CN13" s="204"/>
      <c r="CO13" s="204"/>
      <c r="CP13" s="202">
        <f t="shared" si="19"/>
        <v>0.3958246122</v>
      </c>
      <c r="CQ13" s="205">
        <v>36877.0</v>
      </c>
      <c r="CR13" s="204"/>
      <c r="CS13" s="204"/>
      <c r="CT13" s="202">
        <f t="shared" si="20"/>
        <v>0.09242741373</v>
      </c>
      <c r="CU13" s="205">
        <v>8611.0</v>
      </c>
      <c r="CV13" s="204"/>
      <c r="CW13" s="204"/>
      <c r="CX13" s="202">
        <f t="shared" si="21"/>
        <v>0.1114259647</v>
      </c>
      <c r="CY13" s="205">
        <v>10381.0</v>
      </c>
      <c r="CZ13" s="204"/>
      <c r="DA13" s="204"/>
      <c r="DB13" s="202">
        <f t="shared" si="22"/>
        <v>0.3489185853</v>
      </c>
      <c r="DC13" s="205">
        <v>32507.0</v>
      </c>
    </row>
    <row r="14">
      <c r="A14" s="185" t="s">
        <v>32</v>
      </c>
      <c r="B14" s="183" t="s">
        <v>250</v>
      </c>
      <c r="C14" s="188"/>
      <c r="D14" s="189">
        <v>2495.0</v>
      </c>
      <c r="E14" s="190"/>
      <c r="F14" s="190"/>
      <c r="G14" s="191">
        <f t="shared" si="1"/>
        <v>0.8320641283</v>
      </c>
      <c r="H14" s="189">
        <v>2076.0</v>
      </c>
      <c r="I14" s="188"/>
      <c r="J14" s="188"/>
      <c r="K14" s="189"/>
      <c r="L14" s="189">
        <f t="shared" ref="L14:L16" si="24">D14-H14</f>
        <v>419</v>
      </c>
      <c r="M14" s="190"/>
      <c r="N14" s="190"/>
      <c r="O14" s="191">
        <f t="shared" si="3"/>
        <v>0.8709418838</v>
      </c>
      <c r="P14" s="189">
        <v>2173.0</v>
      </c>
      <c r="Q14" s="188"/>
      <c r="R14" s="188"/>
      <c r="S14" s="189"/>
      <c r="T14" s="189"/>
      <c r="U14" s="190"/>
      <c r="V14" s="190"/>
      <c r="W14" s="191">
        <f t="shared" si="4"/>
        <v>0.122244489</v>
      </c>
      <c r="X14" s="189">
        <v>305.0</v>
      </c>
      <c r="Y14" s="190"/>
      <c r="Z14" s="190"/>
      <c r="AA14" s="191">
        <f t="shared" si="5"/>
        <v>0.1142284569</v>
      </c>
      <c r="AB14" s="189">
        <v>285.0</v>
      </c>
      <c r="AC14" s="188"/>
      <c r="AD14" s="189">
        <v>11077.0</v>
      </c>
      <c r="AE14" s="188"/>
      <c r="AF14" s="188"/>
      <c r="AG14" s="189"/>
      <c r="AH14" s="189">
        <v>7213.0</v>
      </c>
      <c r="AI14" s="188"/>
      <c r="AJ14" s="189">
        <f t="shared" si="6"/>
        <v>3864</v>
      </c>
      <c r="AK14" s="188"/>
      <c r="AL14" s="188"/>
      <c r="AM14" s="188"/>
      <c r="AN14" s="188"/>
      <c r="AO14" s="188"/>
      <c r="AP14" s="188"/>
      <c r="AQ14" s="189"/>
      <c r="AR14" s="189"/>
      <c r="AS14" s="189"/>
      <c r="AT14" s="189"/>
      <c r="AU14" s="189"/>
      <c r="AV14" s="189"/>
      <c r="AW14" s="188"/>
      <c r="AX14" s="188"/>
      <c r="AY14" s="191">
        <f t="shared" si="7"/>
        <v>0.5191838946</v>
      </c>
      <c r="AZ14" s="189">
        <v>5751.0</v>
      </c>
      <c r="BA14" s="192"/>
      <c r="BB14" s="192"/>
      <c r="BC14" s="193">
        <f t="shared" si="8"/>
        <v>0.08513135325</v>
      </c>
      <c r="BD14" s="189">
        <v>943.0</v>
      </c>
      <c r="BE14" s="191">
        <f t="shared" si="9"/>
        <v>0.8941951792</v>
      </c>
      <c r="BF14" s="189">
        <f t="shared" si="10"/>
        <v>9905</v>
      </c>
      <c r="BG14" s="188"/>
      <c r="BH14" s="189">
        <v>2863.0</v>
      </c>
      <c r="BI14" s="189">
        <v>7042.0</v>
      </c>
      <c r="BJ14" s="191">
        <f t="shared" si="11"/>
        <v>0.0843188589</v>
      </c>
      <c r="BK14" s="189">
        <v>934.0</v>
      </c>
      <c r="BL14" s="194"/>
      <c r="BM14" s="195">
        <v>24.6</v>
      </c>
      <c r="BN14" s="196"/>
      <c r="BO14" s="196"/>
      <c r="BP14" s="197">
        <f t="shared" si="12"/>
        <v>0.9374749499</v>
      </c>
      <c r="BQ14" s="189">
        <v>2339.0</v>
      </c>
      <c r="BR14" s="196"/>
      <c r="BS14" s="196"/>
      <c r="BT14" s="197">
        <f t="shared" si="13"/>
        <v>0.9815631263</v>
      </c>
      <c r="BU14" s="189">
        <v>2449.0</v>
      </c>
      <c r="BV14" s="190"/>
      <c r="BW14" s="190"/>
      <c r="BX14" s="191">
        <f t="shared" si="14"/>
        <v>0.597995992</v>
      </c>
      <c r="BY14" s="189">
        <v>1492.0</v>
      </c>
      <c r="BZ14" s="190"/>
      <c r="CA14" s="190"/>
      <c r="CB14" s="191">
        <f t="shared" si="15"/>
        <v>0.7398797595</v>
      </c>
      <c r="CC14" s="189">
        <v>1846.0</v>
      </c>
      <c r="CD14" s="196"/>
      <c r="CE14" s="196"/>
      <c r="CF14" s="197">
        <f t="shared" si="16"/>
        <v>0.8400801603</v>
      </c>
      <c r="CG14" s="189">
        <v>2096.0</v>
      </c>
      <c r="CH14" s="190"/>
      <c r="CI14" s="190"/>
      <c r="CJ14" s="191">
        <f t="shared" si="17"/>
        <v>0.5567134269</v>
      </c>
      <c r="CK14" s="189">
        <v>1389.0</v>
      </c>
      <c r="CL14" s="191">
        <f t="shared" si="18"/>
        <v>0.479759519</v>
      </c>
      <c r="CM14" s="189">
        <v>1197.0</v>
      </c>
      <c r="CN14" s="190"/>
      <c r="CO14" s="190"/>
      <c r="CP14" s="191">
        <f t="shared" si="19"/>
        <v>0.9358717435</v>
      </c>
      <c r="CQ14" s="189">
        <v>2335.0</v>
      </c>
      <c r="CR14" s="190"/>
      <c r="CS14" s="190"/>
      <c r="CT14" s="191">
        <f t="shared" si="20"/>
        <v>0.1306613226</v>
      </c>
      <c r="CU14" s="189">
        <v>326.0</v>
      </c>
      <c r="CV14" s="190"/>
      <c r="CW14" s="190"/>
      <c r="CX14" s="191">
        <f t="shared" si="21"/>
        <v>0.2829659319</v>
      </c>
      <c r="CY14" s="189">
        <v>706.0</v>
      </c>
      <c r="CZ14" s="190"/>
      <c r="DA14" s="190"/>
      <c r="DB14" s="191">
        <f t="shared" si="22"/>
        <v>0.8076152305</v>
      </c>
      <c r="DC14" s="189">
        <v>2015.0</v>
      </c>
    </row>
    <row r="15">
      <c r="A15" s="185"/>
      <c r="B15" s="183" t="s">
        <v>251</v>
      </c>
      <c r="C15" s="188"/>
      <c r="D15" s="189">
        <v>2514.0</v>
      </c>
      <c r="E15" s="190"/>
      <c r="F15" s="190"/>
      <c r="G15" s="191">
        <f t="shared" si="1"/>
        <v>0.9347653142</v>
      </c>
      <c r="H15" s="189">
        <v>2350.0</v>
      </c>
      <c r="I15" s="188"/>
      <c r="J15" s="188"/>
      <c r="K15" s="189"/>
      <c r="L15" s="189">
        <f t="shared" si="24"/>
        <v>164</v>
      </c>
      <c r="M15" s="190"/>
      <c r="N15" s="190"/>
      <c r="O15" s="191">
        <f t="shared" si="3"/>
        <v>0.9276054097</v>
      </c>
      <c r="P15" s="189">
        <v>2332.0</v>
      </c>
      <c r="Q15" s="188"/>
      <c r="R15" s="188"/>
      <c r="S15" s="189"/>
      <c r="T15" s="189"/>
      <c r="U15" s="190"/>
      <c r="V15" s="190"/>
      <c r="W15" s="191">
        <f t="shared" si="4"/>
        <v>0.05449482896</v>
      </c>
      <c r="X15" s="189">
        <v>137.0</v>
      </c>
      <c r="Y15" s="190"/>
      <c r="Z15" s="190"/>
      <c r="AA15" s="191">
        <f t="shared" si="5"/>
        <v>0.3257756563</v>
      </c>
      <c r="AB15" s="189">
        <v>819.0</v>
      </c>
      <c r="AC15" s="188"/>
      <c r="AD15" s="189">
        <v>8611.0</v>
      </c>
      <c r="AE15" s="188"/>
      <c r="AF15" s="188"/>
      <c r="AG15" s="189"/>
      <c r="AH15" s="189">
        <v>7208.0</v>
      </c>
      <c r="AI15" s="188"/>
      <c r="AJ15" s="189">
        <f t="shared" si="6"/>
        <v>1403</v>
      </c>
      <c r="AK15" s="188"/>
      <c r="AL15" s="188"/>
      <c r="AM15" s="188"/>
      <c r="AN15" s="188"/>
      <c r="AO15" s="188"/>
      <c r="AP15" s="188"/>
      <c r="AQ15" s="189"/>
      <c r="AR15" s="189"/>
      <c r="AS15" s="189"/>
      <c r="AT15" s="189"/>
      <c r="AU15" s="189"/>
      <c r="AV15" s="189"/>
      <c r="AW15" s="188"/>
      <c r="AX15" s="188"/>
      <c r="AY15" s="191">
        <f t="shared" si="7"/>
        <v>0.4901869702</v>
      </c>
      <c r="AZ15" s="189">
        <v>4221.0</v>
      </c>
      <c r="BA15" s="192"/>
      <c r="BB15" s="192"/>
      <c r="BC15" s="193">
        <f t="shared" si="8"/>
        <v>0.07548484497</v>
      </c>
      <c r="BD15" s="189">
        <v>650.0</v>
      </c>
      <c r="BE15" s="191">
        <f t="shared" si="9"/>
        <v>0.8895598653</v>
      </c>
      <c r="BF15" s="189">
        <f t="shared" si="10"/>
        <v>7660</v>
      </c>
      <c r="BG15" s="188"/>
      <c r="BH15" s="189">
        <v>2530.0</v>
      </c>
      <c r="BI15" s="189">
        <v>5130.0</v>
      </c>
      <c r="BJ15" s="191">
        <f t="shared" si="11"/>
        <v>0.06189757287</v>
      </c>
      <c r="BK15" s="189">
        <v>533.0</v>
      </c>
      <c r="BL15" s="194"/>
      <c r="BM15" s="195">
        <v>24.69</v>
      </c>
      <c r="BN15" s="196"/>
      <c r="BO15" s="196"/>
      <c r="BP15" s="197">
        <f t="shared" si="12"/>
        <v>0.9339697693</v>
      </c>
      <c r="BQ15" s="189">
        <v>2348.0</v>
      </c>
      <c r="BR15" s="196"/>
      <c r="BS15" s="196"/>
      <c r="BT15" s="197">
        <f t="shared" si="13"/>
        <v>0.9518695306</v>
      </c>
      <c r="BU15" s="189">
        <v>2393.0</v>
      </c>
      <c r="BV15" s="190"/>
      <c r="BW15" s="190"/>
      <c r="BX15" s="191">
        <f t="shared" si="14"/>
        <v>0.6945107399</v>
      </c>
      <c r="BY15" s="189">
        <v>1746.0</v>
      </c>
      <c r="BZ15" s="190"/>
      <c r="CA15" s="190"/>
      <c r="CB15" s="191">
        <f t="shared" si="15"/>
        <v>0.7971360382</v>
      </c>
      <c r="CC15" s="189">
        <v>2004.0</v>
      </c>
      <c r="CD15" s="196"/>
      <c r="CE15" s="196"/>
      <c r="CF15" s="197">
        <f t="shared" si="16"/>
        <v>0.8524264121</v>
      </c>
      <c r="CG15" s="189">
        <v>2143.0</v>
      </c>
      <c r="CH15" s="190"/>
      <c r="CI15" s="190"/>
      <c r="CJ15" s="191">
        <f t="shared" si="17"/>
        <v>0.5934765314</v>
      </c>
      <c r="CK15" s="189">
        <v>1492.0</v>
      </c>
      <c r="CL15" s="191">
        <f t="shared" si="18"/>
        <v>0.5978520286</v>
      </c>
      <c r="CM15" s="189">
        <v>1503.0</v>
      </c>
      <c r="CN15" s="190"/>
      <c r="CO15" s="190"/>
      <c r="CP15" s="191">
        <f t="shared" si="19"/>
        <v>0.9566428003</v>
      </c>
      <c r="CQ15" s="189">
        <v>2405.0</v>
      </c>
      <c r="CR15" s="190"/>
      <c r="CS15" s="190"/>
      <c r="CT15" s="191">
        <f t="shared" si="20"/>
        <v>0.1829753381</v>
      </c>
      <c r="CU15" s="189">
        <v>460.0</v>
      </c>
      <c r="CV15" s="190"/>
      <c r="CW15" s="190"/>
      <c r="CX15" s="191">
        <f t="shared" si="21"/>
        <v>0.2760540971</v>
      </c>
      <c r="CY15" s="189">
        <v>694.0</v>
      </c>
      <c r="CZ15" s="190"/>
      <c r="DA15" s="190"/>
      <c r="DB15" s="191">
        <f t="shared" si="22"/>
        <v>0.8882259348</v>
      </c>
      <c r="DC15" s="189">
        <v>2233.0</v>
      </c>
    </row>
    <row r="16">
      <c r="A16" s="185"/>
      <c r="B16" s="183" t="s">
        <v>252</v>
      </c>
      <c r="C16" s="188"/>
      <c r="D16" s="189">
        <v>2406.0</v>
      </c>
      <c r="E16" s="190"/>
      <c r="F16" s="190"/>
      <c r="G16" s="191">
        <f t="shared" si="1"/>
        <v>0.5532003325</v>
      </c>
      <c r="H16" s="189">
        <v>1331.0</v>
      </c>
      <c r="I16" s="188"/>
      <c r="J16" s="188"/>
      <c r="K16" s="189"/>
      <c r="L16" s="189">
        <f t="shared" si="24"/>
        <v>1075</v>
      </c>
      <c r="M16" s="190"/>
      <c r="N16" s="190"/>
      <c r="O16" s="191">
        <f t="shared" si="3"/>
        <v>0.5901911887</v>
      </c>
      <c r="P16" s="189">
        <v>1420.0</v>
      </c>
      <c r="Q16" s="188"/>
      <c r="R16" s="188"/>
      <c r="S16" s="189"/>
      <c r="T16" s="189"/>
      <c r="U16" s="190"/>
      <c r="V16" s="190"/>
      <c r="W16" s="191">
        <f t="shared" si="4"/>
        <v>0.3632585204</v>
      </c>
      <c r="X16" s="189">
        <v>874.0</v>
      </c>
      <c r="Y16" s="190"/>
      <c r="Z16" s="190"/>
      <c r="AA16" s="191">
        <f t="shared" si="5"/>
        <v>0.007481296758</v>
      </c>
      <c r="AB16" s="189">
        <v>18.0</v>
      </c>
      <c r="AC16" s="188"/>
      <c r="AD16" s="189">
        <v>21787.0</v>
      </c>
      <c r="AE16" s="188"/>
      <c r="AF16" s="188"/>
      <c r="AG16" s="189"/>
      <c r="AH16" s="189">
        <v>9027.0</v>
      </c>
      <c r="AI16" s="188"/>
      <c r="AJ16" s="189">
        <f t="shared" si="6"/>
        <v>12760</v>
      </c>
      <c r="AK16" s="188"/>
      <c r="AL16" s="188"/>
      <c r="AM16" s="188"/>
      <c r="AN16" s="188"/>
      <c r="AO16" s="188"/>
      <c r="AP16" s="188"/>
      <c r="AQ16" s="189"/>
      <c r="AR16" s="189"/>
      <c r="AS16" s="189"/>
      <c r="AT16" s="189"/>
      <c r="AU16" s="189"/>
      <c r="AV16" s="189"/>
      <c r="AW16" s="188"/>
      <c r="AX16" s="188"/>
      <c r="AY16" s="191">
        <f t="shared" si="7"/>
        <v>0.7069353284</v>
      </c>
      <c r="AZ16" s="189">
        <v>15402.0</v>
      </c>
      <c r="BA16" s="192"/>
      <c r="BB16" s="192"/>
      <c r="BC16" s="193">
        <f t="shared" si="8"/>
        <v>0.0770643044</v>
      </c>
      <c r="BD16" s="189">
        <v>1679.0</v>
      </c>
      <c r="BE16" s="191">
        <f t="shared" si="9"/>
        <v>0.9047138202</v>
      </c>
      <c r="BF16" s="189">
        <f t="shared" si="10"/>
        <v>19711</v>
      </c>
      <c r="BG16" s="188"/>
      <c r="BH16" s="189">
        <v>6019.0</v>
      </c>
      <c r="BI16" s="189">
        <v>13692.0</v>
      </c>
      <c r="BJ16" s="191">
        <f t="shared" si="11"/>
        <v>0.1416440997</v>
      </c>
      <c r="BK16" s="189">
        <v>3086.0</v>
      </c>
      <c r="BL16" s="194"/>
      <c r="BM16" s="195">
        <v>24.54</v>
      </c>
      <c r="BN16" s="196"/>
      <c r="BO16" s="196"/>
      <c r="BP16" s="197">
        <f t="shared" si="12"/>
        <v>0.9933499584</v>
      </c>
      <c r="BQ16" s="189">
        <v>2390.0</v>
      </c>
      <c r="BR16" s="196"/>
      <c r="BS16" s="196"/>
      <c r="BT16" s="197">
        <f t="shared" si="13"/>
        <v>1</v>
      </c>
      <c r="BU16" s="189">
        <v>2406.0</v>
      </c>
      <c r="BV16" s="190"/>
      <c r="BW16" s="190"/>
      <c r="BX16" s="191">
        <f t="shared" si="14"/>
        <v>0.5818786367</v>
      </c>
      <c r="BY16" s="189">
        <v>1400.0</v>
      </c>
      <c r="BZ16" s="190"/>
      <c r="CA16" s="190"/>
      <c r="CB16" s="191">
        <f t="shared" si="15"/>
        <v>0.5494596841</v>
      </c>
      <c r="CC16" s="189">
        <v>1322.0</v>
      </c>
      <c r="CD16" s="196"/>
      <c r="CE16" s="196"/>
      <c r="CF16" s="197">
        <f t="shared" si="16"/>
        <v>1</v>
      </c>
      <c r="CG16" s="189">
        <v>2406.0</v>
      </c>
      <c r="CH16" s="190"/>
      <c r="CI16" s="190"/>
      <c r="CJ16" s="191">
        <f t="shared" si="17"/>
        <v>0.7443890274</v>
      </c>
      <c r="CK16" s="189">
        <v>1791.0</v>
      </c>
      <c r="CL16" s="191">
        <f t="shared" si="18"/>
        <v>0.646716542</v>
      </c>
      <c r="CM16" s="189">
        <v>1556.0</v>
      </c>
      <c r="CN16" s="190"/>
      <c r="CO16" s="190"/>
      <c r="CP16" s="191">
        <f t="shared" si="19"/>
        <v>0.9534497091</v>
      </c>
      <c r="CQ16" s="189">
        <v>2294.0</v>
      </c>
      <c r="CR16" s="190"/>
      <c r="CS16" s="190"/>
      <c r="CT16" s="191">
        <f t="shared" si="20"/>
        <v>0.4970906068</v>
      </c>
      <c r="CU16" s="189">
        <v>1196.0</v>
      </c>
      <c r="CV16" s="190"/>
      <c r="CW16" s="190"/>
      <c r="CX16" s="191">
        <f t="shared" si="21"/>
        <v>0.4397339983</v>
      </c>
      <c r="CY16" s="189">
        <v>1058.0</v>
      </c>
      <c r="CZ16" s="190"/>
      <c r="DA16" s="190"/>
      <c r="DB16" s="191">
        <f t="shared" si="22"/>
        <v>0.6072319202</v>
      </c>
      <c r="DC16" s="189">
        <v>1461.0</v>
      </c>
    </row>
    <row r="17">
      <c r="A17" s="177"/>
      <c r="B17" s="178" t="s">
        <v>246</v>
      </c>
      <c r="C17" s="203">
        <v>56274.0</v>
      </c>
      <c r="D17" s="199">
        <v>56512.0</v>
      </c>
      <c r="E17" s="204"/>
      <c r="F17" s="204"/>
      <c r="G17" s="202">
        <f t="shared" si="1"/>
        <v>0.8877406569</v>
      </c>
      <c r="H17" s="199">
        <v>50168.0</v>
      </c>
      <c r="I17" s="203"/>
      <c r="J17" s="203"/>
      <c r="K17" s="199"/>
      <c r="L17" s="199">
        <v>6344.0</v>
      </c>
      <c r="M17" s="204"/>
      <c r="N17" s="204"/>
      <c r="O17" s="202">
        <f t="shared" si="3"/>
        <v>0.8596050396</v>
      </c>
      <c r="P17" s="205">
        <v>48578.0</v>
      </c>
      <c r="Q17" s="206"/>
      <c r="R17" s="206"/>
      <c r="S17" s="205"/>
      <c r="T17" s="205"/>
      <c r="U17" s="204"/>
      <c r="V17" s="204"/>
      <c r="W17" s="202">
        <f t="shared" si="4"/>
        <v>0.1249823046</v>
      </c>
      <c r="X17" s="205">
        <v>7063.0</v>
      </c>
      <c r="Y17" s="204"/>
      <c r="Z17" s="204"/>
      <c r="AA17" s="202">
        <f t="shared" si="5"/>
        <v>0.09697055493</v>
      </c>
      <c r="AB17" s="205">
        <v>5480.0</v>
      </c>
      <c r="AC17" s="206"/>
      <c r="AD17" s="205">
        <v>260782.0</v>
      </c>
      <c r="AE17" s="206"/>
      <c r="AF17" s="206"/>
      <c r="AG17" s="205"/>
      <c r="AH17" s="205">
        <v>196639.0</v>
      </c>
      <c r="AI17" s="206"/>
      <c r="AJ17" s="205">
        <f t="shared" si="6"/>
        <v>64143</v>
      </c>
      <c r="AK17" s="206"/>
      <c r="AL17" s="206"/>
      <c r="AM17" s="206"/>
      <c r="AN17" s="206"/>
      <c r="AO17" s="206"/>
      <c r="AP17" s="206"/>
      <c r="AQ17" s="205"/>
      <c r="AR17" s="205"/>
      <c r="AS17" s="205"/>
      <c r="AT17" s="205"/>
      <c r="AU17" s="205"/>
      <c r="AV17" s="205"/>
      <c r="AW17" s="206"/>
      <c r="AX17" s="206"/>
      <c r="AY17" s="202">
        <f t="shared" si="7"/>
        <v>0.4789786105</v>
      </c>
      <c r="AZ17" s="199">
        <v>124909.0</v>
      </c>
      <c r="BA17" s="207"/>
      <c r="BB17" s="207"/>
      <c r="BC17" s="208">
        <f t="shared" si="8"/>
        <v>0.08221426325</v>
      </c>
      <c r="BD17" s="199">
        <v>21440.0</v>
      </c>
      <c r="BE17" s="202">
        <f t="shared" si="9"/>
        <v>0.8820087276</v>
      </c>
      <c r="BF17" s="199">
        <f t="shared" si="10"/>
        <v>230012</v>
      </c>
      <c r="BG17" s="203"/>
      <c r="BH17" s="199">
        <v>69021.0</v>
      </c>
      <c r="BI17" s="199">
        <v>160991.0</v>
      </c>
      <c r="BJ17" s="202">
        <f t="shared" si="11"/>
        <v>0.09318511247</v>
      </c>
      <c r="BK17" s="199">
        <v>24301.0</v>
      </c>
      <c r="BL17" s="203"/>
      <c r="BM17" s="199">
        <v>23.0</v>
      </c>
      <c r="BN17" s="209"/>
      <c r="BO17" s="209"/>
      <c r="BP17" s="210">
        <f t="shared" si="12"/>
        <v>0.9558677803</v>
      </c>
      <c r="BQ17" s="205">
        <v>54018.0</v>
      </c>
      <c r="BR17" s="209"/>
      <c r="BS17" s="209"/>
      <c r="BT17" s="210">
        <f t="shared" si="13"/>
        <v>0.983136325</v>
      </c>
      <c r="BU17" s="205">
        <v>55559.0</v>
      </c>
      <c r="BV17" s="204"/>
      <c r="BW17" s="204"/>
      <c r="BX17" s="202">
        <f t="shared" si="14"/>
        <v>0.9196276897</v>
      </c>
      <c r="BY17" s="205">
        <v>51970.0</v>
      </c>
      <c r="BZ17" s="204"/>
      <c r="CA17" s="204"/>
      <c r="CB17" s="202">
        <f t="shared" si="15"/>
        <v>0.9612825595</v>
      </c>
      <c r="CC17" s="205">
        <v>54324.0</v>
      </c>
      <c r="CD17" s="209"/>
      <c r="CE17" s="209"/>
      <c r="CF17" s="210">
        <f t="shared" si="16"/>
        <v>0.9140005663</v>
      </c>
      <c r="CG17" s="205">
        <v>51652.0</v>
      </c>
      <c r="CH17" s="204"/>
      <c r="CI17" s="204"/>
      <c r="CJ17" s="202">
        <f t="shared" si="17"/>
        <v>0.5972005946</v>
      </c>
      <c r="CK17" s="205">
        <v>33749.0</v>
      </c>
      <c r="CL17" s="202">
        <f t="shared" si="18"/>
        <v>0.6089149207</v>
      </c>
      <c r="CM17" s="205">
        <v>34411.0</v>
      </c>
      <c r="CN17" s="204"/>
      <c r="CO17" s="204"/>
      <c r="CP17" s="202">
        <f t="shared" si="19"/>
        <v>0.9585751699</v>
      </c>
      <c r="CQ17" s="205">
        <v>54171.0</v>
      </c>
      <c r="CR17" s="204"/>
      <c r="CS17" s="204"/>
      <c r="CT17" s="202">
        <f t="shared" si="20"/>
        <v>0.330407701</v>
      </c>
      <c r="CU17" s="205">
        <v>18672.0</v>
      </c>
      <c r="CV17" s="204"/>
      <c r="CW17" s="204"/>
      <c r="CX17" s="202">
        <f t="shared" si="21"/>
        <v>0.3098810872</v>
      </c>
      <c r="CY17" s="205">
        <v>17512.0</v>
      </c>
      <c r="CZ17" s="204"/>
      <c r="DA17" s="204"/>
      <c r="DB17" s="202">
        <f t="shared" si="22"/>
        <v>0.8207637316</v>
      </c>
      <c r="DC17" s="205">
        <v>46383.0</v>
      </c>
    </row>
    <row r="18">
      <c r="A18" s="185" t="s">
        <v>52</v>
      </c>
      <c r="B18" s="211" t="s">
        <v>253</v>
      </c>
      <c r="C18" s="212">
        <v>2566.0</v>
      </c>
      <c r="D18" s="189">
        <v>2532.0</v>
      </c>
      <c r="E18" s="190">
        <v>0.7373343725643025</v>
      </c>
      <c r="F18" s="194">
        <v>1892.0</v>
      </c>
      <c r="G18" s="191">
        <f t="shared" si="1"/>
        <v>0.6962875197</v>
      </c>
      <c r="H18" s="189">
        <v>1763.0</v>
      </c>
      <c r="I18" s="192">
        <f>(J18/C18)</f>
        <v>0.2626656274</v>
      </c>
      <c r="J18" s="194">
        <f>(C18-F18)</f>
        <v>674</v>
      </c>
      <c r="K18" s="189"/>
      <c r="L18" s="189">
        <f t="shared" ref="L18:L21" si="25">D18-H18</f>
        <v>769</v>
      </c>
      <c r="M18" s="213">
        <v>0.64</v>
      </c>
      <c r="N18" s="214">
        <v>1631.0</v>
      </c>
      <c r="O18" s="191">
        <f t="shared" si="3"/>
        <v>0.6382306477</v>
      </c>
      <c r="P18" s="189">
        <v>1616.0</v>
      </c>
      <c r="Q18" s="190">
        <v>0.0362431800467654</v>
      </c>
      <c r="R18" s="194">
        <v>93.0</v>
      </c>
      <c r="S18" s="189"/>
      <c r="T18" s="189"/>
      <c r="U18" s="213">
        <v>0.3</v>
      </c>
      <c r="V18" s="214">
        <v>774.0</v>
      </c>
      <c r="W18" s="191">
        <f t="shared" si="4"/>
        <v>0.3001579779</v>
      </c>
      <c r="X18" s="189">
        <v>760.0</v>
      </c>
      <c r="Y18" s="215">
        <v>0.05</v>
      </c>
      <c r="Z18" s="212">
        <v>125.0</v>
      </c>
      <c r="AA18" s="191">
        <f t="shared" si="5"/>
        <v>0.1145339652</v>
      </c>
      <c r="AB18" s="189">
        <v>290.0</v>
      </c>
      <c r="AC18" s="212">
        <v>15082.0</v>
      </c>
      <c r="AD18" s="189">
        <v>13333.0</v>
      </c>
      <c r="AE18" s="190">
        <v>0.702493038058613</v>
      </c>
      <c r="AF18" s="194">
        <v>10595.0</v>
      </c>
      <c r="AG18" s="189"/>
      <c r="AH18" s="189">
        <v>8311.0</v>
      </c>
      <c r="AI18" s="188"/>
      <c r="AJ18" s="189">
        <f t="shared" si="6"/>
        <v>5022</v>
      </c>
      <c r="AK18" s="216">
        <v>0.0</v>
      </c>
      <c r="AL18" s="216">
        <v>0.0</v>
      </c>
      <c r="AM18" s="216">
        <v>0.0</v>
      </c>
      <c r="AN18" s="216">
        <v>0.0</v>
      </c>
      <c r="AO18" s="216">
        <v>0.0</v>
      </c>
      <c r="AP18" s="216">
        <v>0.0</v>
      </c>
      <c r="AQ18" s="217">
        <v>0.0</v>
      </c>
      <c r="AR18" s="217">
        <v>0.0</v>
      </c>
      <c r="AS18" s="217">
        <v>0.0</v>
      </c>
      <c r="AT18" s="217">
        <v>0.0</v>
      </c>
      <c r="AU18" s="217">
        <v>0.0</v>
      </c>
      <c r="AV18" s="217">
        <v>0.0</v>
      </c>
      <c r="AW18" s="218">
        <v>0.47719135393183926</v>
      </c>
      <c r="AX18" s="212">
        <v>7197.0</v>
      </c>
      <c r="AY18" s="191">
        <f t="shared" si="7"/>
        <v>0.4860121503</v>
      </c>
      <c r="AZ18" s="189">
        <v>6480.0</v>
      </c>
      <c r="BA18" s="219">
        <v>0.02</v>
      </c>
      <c r="BB18" s="220">
        <v>281.0</v>
      </c>
      <c r="BC18" s="193">
        <f t="shared" si="8"/>
        <v>0.02722568064</v>
      </c>
      <c r="BD18" s="189">
        <v>363.0</v>
      </c>
      <c r="BE18" s="191">
        <f t="shared" si="9"/>
        <v>0.726318158</v>
      </c>
      <c r="BF18" s="189">
        <f t="shared" si="10"/>
        <v>9684</v>
      </c>
      <c r="BG18" s="212">
        <v>4662.0</v>
      </c>
      <c r="BH18" s="189">
        <v>6115.0</v>
      </c>
      <c r="BI18" s="189">
        <v>3569.0</v>
      </c>
      <c r="BJ18" s="191">
        <f t="shared" si="11"/>
        <v>0.01035025876</v>
      </c>
      <c r="BK18" s="189">
        <v>138.0</v>
      </c>
      <c r="BL18" s="220">
        <v>28.0</v>
      </c>
      <c r="BM18" s="195">
        <v>35.48</v>
      </c>
      <c r="BN18" s="216" t="s">
        <v>254</v>
      </c>
      <c r="BO18" s="216">
        <v>0.0</v>
      </c>
      <c r="BP18" s="197">
        <f t="shared" si="12"/>
        <v>0.7808056872</v>
      </c>
      <c r="BQ18" s="189">
        <v>1977.0</v>
      </c>
      <c r="BR18" s="221">
        <v>0.9758378799688231</v>
      </c>
      <c r="BS18" s="214">
        <v>2504.0</v>
      </c>
      <c r="BT18" s="197">
        <f t="shared" si="13"/>
        <v>0.9755134281</v>
      </c>
      <c r="BU18" s="189">
        <v>2470.0</v>
      </c>
      <c r="BV18" s="221">
        <v>0.6391270459859704</v>
      </c>
      <c r="BW18" s="214">
        <v>1640.0</v>
      </c>
      <c r="BX18" s="191">
        <f t="shared" si="14"/>
        <v>0.5920221169</v>
      </c>
      <c r="BY18" s="189">
        <v>1499.0</v>
      </c>
      <c r="BZ18" s="221">
        <v>0.6258768511301637</v>
      </c>
      <c r="CA18" s="214">
        <v>1606.0</v>
      </c>
      <c r="CB18" s="191">
        <f t="shared" si="15"/>
        <v>0.5841232227</v>
      </c>
      <c r="CC18" s="189">
        <v>1479.0</v>
      </c>
      <c r="CD18" s="221">
        <v>0.9064692127825409</v>
      </c>
      <c r="CE18" s="214">
        <v>2326.0</v>
      </c>
      <c r="CF18" s="197">
        <f t="shared" si="16"/>
        <v>0.9751184834</v>
      </c>
      <c r="CG18" s="189">
        <v>2469.0</v>
      </c>
      <c r="CH18" s="221">
        <v>0.6219797349961029</v>
      </c>
      <c r="CI18" s="214">
        <v>1596.0</v>
      </c>
      <c r="CJ18" s="191">
        <f t="shared" si="17"/>
        <v>0.7061611374</v>
      </c>
      <c r="CK18" s="189">
        <v>1788.0</v>
      </c>
      <c r="CL18" s="191">
        <f t="shared" si="18"/>
        <v>0.4407582938</v>
      </c>
      <c r="CM18" s="189">
        <v>1116.0</v>
      </c>
      <c r="CN18" s="222">
        <v>0.8811379579111458</v>
      </c>
      <c r="CO18" s="214">
        <v>2261.0</v>
      </c>
      <c r="CP18" s="191">
        <f t="shared" si="19"/>
        <v>0.8854660348</v>
      </c>
      <c r="CQ18" s="189">
        <v>2242.0</v>
      </c>
      <c r="CR18" s="223">
        <v>0.13</v>
      </c>
      <c r="CS18" s="216">
        <v>0.0</v>
      </c>
      <c r="CT18" s="191">
        <f t="shared" si="20"/>
        <v>0.1437598736</v>
      </c>
      <c r="CU18" s="189">
        <v>364.0</v>
      </c>
      <c r="CV18" s="221">
        <v>0.07716289945440374</v>
      </c>
      <c r="CW18" s="224">
        <v>198.0</v>
      </c>
      <c r="CX18" s="191">
        <f t="shared" si="21"/>
        <v>0.2211690363</v>
      </c>
      <c r="CY18" s="189">
        <v>560.0</v>
      </c>
      <c r="CZ18" s="225" t="s">
        <v>255</v>
      </c>
      <c r="DA18" s="224">
        <v>1881.0</v>
      </c>
      <c r="DB18" s="191">
        <f t="shared" si="22"/>
        <v>0.4968404423</v>
      </c>
      <c r="DC18" s="189">
        <v>1258.0</v>
      </c>
    </row>
    <row r="19">
      <c r="A19" s="185"/>
      <c r="B19" s="183" t="s">
        <v>256</v>
      </c>
      <c r="C19" s="188"/>
      <c r="D19" s="189">
        <v>1607.0</v>
      </c>
      <c r="E19" s="190"/>
      <c r="F19" s="190"/>
      <c r="G19" s="191">
        <f t="shared" si="1"/>
        <v>0.7199751089</v>
      </c>
      <c r="H19" s="189">
        <v>1157.0</v>
      </c>
      <c r="I19" s="192"/>
      <c r="J19" s="188"/>
      <c r="K19" s="189"/>
      <c r="L19" s="189">
        <f t="shared" si="25"/>
        <v>450</v>
      </c>
      <c r="M19" s="190"/>
      <c r="N19" s="190"/>
      <c r="O19" s="191">
        <f t="shared" si="3"/>
        <v>0.6664592408</v>
      </c>
      <c r="P19" s="189">
        <v>1071.0</v>
      </c>
      <c r="Q19" s="188"/>
      <c r="R19" s="188"/>
      <c r="S19" s="189"/>
      <c r="T19" s="189"/>
      <c r="U19" s="190"/>
      <c r="V19" s="190"/>
      <c r="W19" s="191">
        <f t="shared" si="4"/>
        <v>0.2794026136</v>
      </c>
      <c r="X19" s="189">
        <v>449.0</v>
      </c>
      <c r="Y19" s="190"/>
      <c r="Z19" s="190"/>
      <c r="AA19" s="191">
        <f t="shared" si="5"/>
        <v>0.1070317362</v>
      </c>
      <c r="AB19" s="189">
        <v>172.0</v>
      </c>
      <c r="AC19" s="188"/>
      <c r="AD19" s="189">
        <v>7384.0</v>
      </c>
      <c r="AE19" s="188"/>
      <c r="AF19" s="188"/>
      <c r="AG19" s="189"/>
      <c r="AH19" s="189">
        <v>4828.0</v>
      </c>
      <c r="AI19" s="188"/>
      <c r="AJ19" s="189">
        <f t="shared" si="6"/>
        <v>2556</v>
      </c>
      <c r="AK19" s="188"/>
      <c r="AL19" s="188"/>
      <c r="AM19" s="188"/>
      <c r="AN19" s="188"/>
      <c r="AO19" s="188"/>
      <c r="AP19" s="188"/>
      <c r="AQ19" s="189"/>
      <c r="AR19" s="189"/>
      <c r="AS19" s="189"/>
      <c r="AT19" s="189"/>
      <c r="AU19" s="189"/>
      <c r="AV19" s="189"/>
      <c r="AW19" s="188"/>
      <c r="AX19" s="188"/>
      <c r="AY19" s="191">
        <f t="shared" si="7"/>
        <v>0.4278169014</v>
      </c>
      <c r="AZ19" s="189">
        <v>3159.0</v>
      </c>
      <c r="BA19" s="192"/>
      <c r="BB19" s="192"/>
      <c r="BC19" s="193">
        <f t="shared" si="8"/>
        <v>0.01151137595</v>
      </c>
      <c r="BD19" s="189">
        <v>85.0</v>
      </c>
      <c r="BE19" s="191">
        <f t="shared" si="9"/>
        <v>0.6764626219</v>
      </c>
      <c r="BF19" s="189">
        <f t="shared" si="10"/>
        <v>4995</v>
      </c>
      <c r="BG19" s="188"/>
      <c r="BH19" s="189">
        <v>3210.0</v>
      </c>
      <c r="BI19" s="189">
        <v>1785.0</v>
      </c>
      <c r="BJ19" s="191">
        <f t="shared" si="11"/>
        <v>0.007042253521</v>
      </c>
      <c r="BK19" s="189">
        <v>52.0</v>
      </c>
      <c r="BL19" s="194"/>
      <c r="BM19" s="195">
        <v>41.51</v>
      </c>
      <c r="BN19" s="196"/>
      <c r="BO19" s="196"/>
      <c r="BP19" s="197">
        <f t="shared" si="12"/>
        <v>0.7940261357</v>
      </c>
      <c r="BQ19" s="189">
        <v>1276.0</v>
      </c>
      <c r="BR19" s="196"/>
      <c r="BS19" s="196"/>
      <c r="BT19" s="197">
        <f t="shared" si="13"/>
        <v>0.9719975109</v>
      </c>
      <c r="BU19" s="189">
        <v>1562.0</v>
      </c>
      <c r="BV19" s="190"/>
      <c r="BW19" s="190"/>
      <c r="BX19" s="191">
        <f t="shared" si="14"/>
        <v>0.6322339764</v>
      </c>
      <c r="BY19" s="189">
        <v>1016.0</v>
      </c>
      <c r="BZ19" s="190"/>
      <c r="CA19" s="190"/>
      <c r="CB19" s="191">
        <f t="shared" si="15"/>
        <v>0.6583696329</v>
      </c>
      <c r="CC19" s="189">
        <v>1058.0</v>
      </c>
      <c r="CD19" s="196"/>
      <c r="CE19" s="196"/>
      <c r="CF19" s="197">
        <f t="shared" si="16"/>
        <v>0.9458618544</v>
      </c>
      <c r="CG19" s="189">
        <v>1520.0</v>
      </c>
      <c r="CH19" s="190"/>
      <c r="CI19" s="190"/>
      <c r="CJ19" s="191">
        <f t="shared" si="17"/>
        <v>0.6851275669</v>
      </c>
      <c r="CK19" s="189">
        <v>1101.0</v>
      </c>
      <c r="CL19" s="191">
        <f t="shared" si="18"/>
        <v>0.5320472931</v>
      </c>
      <c r="CM19" s="189">
        <v>855.0</v>
      </c>
      <c r="CN19" s="190"/>
      <c r="CO19" s="190"/>
      <c r="CP19" s="191">
        <f t="shared" si="19"/>
        <v>0.7678904792</v>
      </c>
      <c r="CQ19" s="189">
        <v>1234.0</v>
      </c>
      <c r="CR19" s="190"/>
      <c r="CS19" s="190"/>
      <c r="CT19" s="191">
        <f t="shared" si="20"/>
        <v>0.1412570006</v>
      </c>
      <c r="CU19" s="189">
        <v>227.0</v>
      </c>
      <c r="CV19" s="190"/>
      <c r="CW19" s="190"/>
      <c r="CX19" s="191">
        <f t="shared" si="21"/>
        <v>0.2016179216</v>
      </c>
      <c r="CY19" s="189">
        <v>324.0</v>
      </c>
      <c r="CZ19" s="190"/>
      <c r="DA19" s="190"/>
      <c r="DB19" s="191">
        <f t="shared" si="22"/>
        <v>0.5071561917</v>
      </c>
      <c r="DC19" s="189">
        <v>815.0</v>
      </c>
    </row>
    <row r="20">
      <c r="A20" s="185"/>
      <c r="B20" s="183" t="s">
        <v>257</v>
      </c>
      <c r="C20" s="188"/>
      <c r="D20" s="189">
        <v>2505.0</v>
      </c>
      <c r="E20" s="190"/>
      <c r="F20" s="190"/>
      <c r="G20" s="191">
        <f t="shared" si="1"/>
        <v>0.2558882236</v>
      </c>
      <c r="H20" s="189">
        <v>641.0</v>
      </c>
      <c r="I20" s="192"/>
      <c r="J20" s="188"/>
      <c r="K20" s="189"/>
      <c r="L20" s="189">
        <f t="shared" si="25"/>
        <v>1864</v>
      </c>
      <c r="M20" s="190"/>
      <c r="N20" s="190"/>
      <c r="O20" s="191">
        <f t="shared" si="3"/>
        <v>0.230738523</v>
      </c>
      <c r="P20" s="189">
        <v>578.0</v>
      </c>
      <c r="Q20" s="188"/>
      <c r="R20" s="188"/>
      <c r="S20" s="189"/>
      <c r="T20" s="189"/>
      <c r="U20" s="190"/>
      <c r="V20" s="190"/>
      <c r="W20" s="191">
        <f t="shared" si="4"/>
        <v>0.6586826347</v>
      </c>
      <c r="X20" s="189">
        <v>1650.0</v>
      </c>
      <c r="Y20" s="190"/>
      <c r="Z20" s="190"/>
      <c r="AA20" s="191">
        <f t="shared" si="5"/>
        <v>0.04910179641</v>
      </c>
      <c r="AB20" s="189">
        <v>123.0</v>
      </c>
      <c r="AC20" s="188"/>
      <c r="AD20" s="189">
        <v>26971.0</v>
      </c>
      <c r="AE20" s="188"/>
      <c r="AF20" s="188"/>
      <c r="AG20" s="189"/>
      <c r="AH20" s="189">
        <v>5539.0</v>
      </c>
      <c r="AI20" s="188"/>
      <c r="AJ20" s="189">
        <f t="shared" si="6"/>
        <v>21432</v>
      </c>
      <c r="AK20" s="188"/>
      <c r="AL20" s="188"/>
      <c r="AM20" s="188"/>
      <c r="AN20" s="188"/>
      <c r="AO20" s="188"/>
      <c r="AP20" s="188"/>
      <c r="AQ20" s="189"/>
      <c r="AR20" s="189"/>
      <c r="AS20" s="189"/>
      <c r="AT20" s="189"/>
      <c r="AU20" s="189"/>
      <c r="AV20" s="189"/>
      <c r="AW20" s="188"/>
      <c r="AX20" s="188"/>
      <c r="AY20" s="191">
        <f t="shared" si="7"/>
        <v>0.8051981758</v>
      </c>
      <c r="AZ20" s="189">
        <v>21717.0</v>
      </c>
      <c r="BA20" s="192"/>
      <c r="BB20" s="192"/>
      <c r="BC20" s="193">
        <f t="shared" si="8"/>
        <v>0.02628749398</v>
      </c>
      <c r="BD20" s="189">
        <v>709.0</v>
      </c>
      <c r="BE20" s="191">
        <f t="shared" si="9"/>
        <v>0.8325979756</v>
      </c>
      <c r="BF20" s="189">
        <f t="shared" si="10"/>
        <v>22456</v>
      </c>
      <c r="BG20" s="188"/>
      <c r="BH20" s="189">
        <v>11750.0</v>
      </c>
      <c r="BI20" s="189">
        <v>10706.0</v>
      </c>
      <c r="BJ20" s="191">
        <f t="shared" si="11"/>
        <v>0.04274961996</v>
      </c>
      <c r="BK20" s="189">
        <v>1153.0</v>
      </c>
      <c r="BL20" s="194"/>
      <c r="BM20" s="195">
        <v>31.13</v>
      </c>
      <c r="BN20" s="196"/>
      <c r="BO20" s="196"/>
      <c r="BP20" s="197">
        <f t="shared" si="12"/>
        <v>0.8618762475</v>
      </c>
      <c r="BQ20" s="189">
        <v>2159.0</v>
      </c>
      <c r="BR20" s="196"/>
      <c r="BS20" s="196"/>
      <c r="BT20" s="197">
        <f t="shared" si="13"/>
        <v>0.998003992</v>
      </c>
      <c r="BU20" s="189">
        <v>2500.0</v>
      </c>
      <c r="BV20" s="190"/>
      <c r="BW20" s="190"/>
      <c r="BX20" s="191">
        <f t="shared" si="14"/>
        <v>0.2163672655</v>
      </c>
      <c r="BY20" s="189">
        <v>542.0</v>
      </c>
      <c r="BZ20" s="190"/>
      <c r="CA20" s="190"/>
      <c r="CB20" s="191">
        <f t="shared" si="15"/>
        <v>0.2147704591</v>
      </c>
      <c r="CC20" s="189">
        <v>538.0</v>
      </c>
      <c r="CD20" s="196"/>
      <c r="CE20" s="196"/>
      <c r="CF20" s="197">
        <f t="shared" si="16"/>
        <v>0.9948103792</v>
      </c>
      <c r="CG20" s="189">
        <v>2492.0</v>
      </c>
      <c r="CH20" s="190"/>
      <c r="CI20" s="190"/>
      <c r="CJ20" s="191">
        <f t="shared" si="17"/>
        <v>0.9333333333</v>
      </c>
      <c r="CK20" s="189">
        <v>2338.0</v>
      </c>
      <c r="CL20" s="191">
        <f t="shared" si="18"/>
        <v>0.2582834331</v>
      </c>
      <c r="CM20" s="189">
        <v>647.0</v>
      </c>
      <c r="CN20" s="190"/>
      <c r="CO20" s="190"/>
      <c r="CP20" s="191">
        <f t="shared" si="19"/>
        <v>0.9528942116</v>
      </c>
      <c r="CQ20" s="189">
        <v>2387.0</v>
      </c>
      <c r="CR20" s="190"/>
      <c r="CS20" s="190"/>
      <c r="CT20" s="191">
        <f t="shared" si="20"/>
        <v>0.2291417166</v>
      </c>
      <c r="CU20" s="189">
        <v>574.0</v>
      </c>
      <c r="CV20" s="190"/>
      <c r="CW20" s="190"/>
      <c r="CX20" s="191">
        <f t="shared" si="21"/>
        <v>0.6886227545</v>
      </c>
      <c r="CY20" s="189">
        <v>1725.0</v>
      </c>
      <c r="CZ20" s="190"/>
      <c r="DA20" s="190"/>
      <c r="DB20" s="191">
        <f t="shared" si="22"/>
        <v>0.272255489</v>
      </c>
      <c r="DC20" s="189">
        <v>682.0</v>
      </c>
    </row>
    <row r="21">
      <c r="A21" s="185"/>
      <c r="B21" s="183" t="s">
        <v>258</v>
      </c>
      <c r="C21" s="188"/>
      <c r="D21" s="189">
        <v>3629.0</v>
      </c>
      <c r="E21" s="190"/>
      <c r="F21" s="190"/>
      <c r="G21" s="191">
        <f t="shared" si="1"/>
        <v>0.224304216</v>
      </c>
      <c r="H21" s="189">
        <v>814.0</v>
      </c>
      <c r="I21" s="192"/>
      <c r="J21" s="188"/>
      <c r="K21" s="189"/>
      <c r="L21" s="189">
        <f t="shared" si="25"/>
        <v>2815</v>
      </c>
      <c r="M21" s="190"/>
      <c r="N21" s="190"/>
      <c r="O21" s="191">
        <f t="shared" si="3"/>
        <v>0.2747313309</v>
      </c>
      <c r="P21" s="189">
        <v>997.0</v>
      </c>
      <c r="Q21" s="188"/>
      <c r="R21" s="188"/>
      <c r="S21" s="189"/>
      <c r="T21" s="189"/>
      <c r="U21" s="190"/>
      <c r="V21" s="190"/>
      <c r="W21" s="191">
        <f t="shared" si="4"/>
        <v>0.6376412235</v>
      </c>
      <c r="X21" s="189">
        <v>2314.0</v>
      </c>
      <c r="Y21" s="190"/>
      <c r="Z21" s="190"/>
      <c r="AA21" s="191">
        <f t="shared" si="5"/>
        <v>0.055662717</v>
      </c>
      <c r="AB21" s="189">
        <v>202.0</v>
      </c>
      <c r="AC21" s="188"/>
      <c r="AD21" s="189">
        <v>45304.0</v>
      </c>
      <c r="AE21" s="188"/>
      <c r="AF21" s="188"/>
      <c r="AG21" s="189"/>
      <c r="AH21" s="189">
        <v>6304.0</v>
      </c>
      <c r="AI21" s="188"/>
      <c r="AJ21" s="189">
        <f t="shared" si="6"/>
        <v>39000</v>
      </c>
      <c r="AK21" s="188"/>
      <c r="AL21" s="188"/>
      <c r="AM21" s="188"/>
      <c r="AN21" s="188"/>
      <c r="AO21" s="188"/>
      <c r="AP21" s="188"/>
      <c r="AQ21" s="189"/>
      <c r="AR21" s="189"/>
      <c r="AS21" s="189"/>
      <c r="AT21" s="189"/>
      <c r="AU21" s="189"/>
      <c r="AV21" s="189"/>
      <c r="AW21" s="188"/>
      <c r="AX21" s="188"/>
      <c r="AY21" s="191">
        <f t="shared" si="7"/>
        <v>0.8263067279</v>
      </c>
      <c r="AZ21" s="189">
        <v>37435.0</v>
      </c>
      <c r="BA21" s="192"/>
      <c r="BB21" s="192"/>
      <c r="BC21" s="193">
        <f t="shared" si="8"/>
        <v>0.02439078227</v>
      </c>
      <c r="BD21" s="189">
        <v>1105.0</v>
      </c>
      <c r="BE21" s="191">
        <f t="shared" si="9"/>
        <v>0.8391532756</v>
      </c>
      <c r="BF21" s="189">
        <f t="shared" si="10"/>
        <v>38017</v>
      </c>
      <c r="BG21" s="188"/>
      <c r="BH21" s="189">
        <v>19262.0</v>
      </c>
      <c r="BI21" s="189">
        <v>18755.0</v>
      </c>
      <c r="BJ21" s="191">
        <f t="shared" si="11"/>
        <v>0.04220377892</v>
      </c>
      <c r="BK21" s="189">
        <v>1912.0</v>
      </c>
      <c r="BL21" s="194"/>
      <c r="BM21" s="195">
        <v>28.91</v>
      </c>
      <c r="BN21" s="196"/>
      <c r="BO21" s="196"/>
      <c r="BP21" s="197">
        <f t="shared" si="12"/>
        <v>0.8820611739</v>
      </c>
      <c r="BQ21" s="189">
        <v>3201.0</v>
      </c>
      <c r="BR21" s="196"/>
      <c r="BS21" s="196"/>
      <c r="BT21" s="197">
        <f t="shared" si="13"/>
        <v>0.998346652</v>
      </c>
      <c r="BU21" s="189">
        <v>3623.0</v>
      </c>
      <c r="BV21" s="190"/>
      <c r="BW21" s="190"/>
      <c r="BX21" s="191">
        <f t="shared" si="14"/>
        <v>0.2099751998</v>
      </c>
      <c r="BY21" s="189">
        <v>762.0</v>
      </c>
      <c r="BZ21" s="190"/>
      <c r="CA21" s="190"/>
      <c r="CB21" s="191">
        <f t="shared" si="15"/>
        <v>0.1953706255</v>
      </c>
      <c r="CC21" s="189">
        <v>709.0</v>
      </c>
      <c r="CD21" s="196"/>
      <c r="CE21" s="196"/>
      <c r="CF21" s="197">
        <f t="shared" si="16"/>
        <v>0.999448884</v>
      </c>
      <c r="CG21" s="189">
        <v>3627.0</v>
      </c>
      <c r="CH21" s="190"/>
      <c r="CI21" s="190"/>
      <c r="CJ21" s="191">
        <f t="shared" si="17"/>
        <v>0.9236704326</v>
      </c>
      <c r="CK21" s="189">
        <v>3352.0</v>
      </c>
      <c r="CL21" s="191">
        <f t="shared" si="18"/>
        <v>0.3199228438</v>
      </c>
      <c r="CM21" s="189">
        <v>1161.0</v>
      </c>
      <c r="CN21" s="190"/>
      <c r="CO21" s="190"/>
      <c r="CP21" s="191">
        <f t="shared" si="19"/>
        <v>0.9537062552</v>
      </c>
      <c r="CQ21" s="189">
        <v>3461.0</v>
      </c>
      <c r="CR21" s="190"/>
      <c r="CS21" s="190"/>
      <c r="CT21" s="191">
        <f t="shared" si="20"/>
        <v>0.2717001929</v>
      </c>
      <c r="CU21" s="189">
        <v>986.0</v>
      </c>
      <c r="CV21" s="190"/>
      <c r="CW21" s="190"/>
      <c r="CX21" s="191">
        <f t="shared" si="21"/>
        <v>0.7021217966</v>
      </c>
      <c r="CY21" s="189">
        <v>2548.0</v>
      </c>
      <c r="CZ21" s="190"/>
      <c r="DA21" s="190"/>
      <c r="DB21" s="191">
        <f t="shared" si="22"/>
        <v>0.2981537614</v>
      </c>
      <c r="DC21" s="189">
        <v>1082.0</v>
      </c>
    </row>
    <row r="22">
      <c r="A22" s="177"/>
      <c r="B22" s="178" t="s">
        <v>246</v>
      </c>
      <c r="C22" s="203">
        <v>78233.0</v>
      </c>
      <c r="D22" s="199">
        <v>76450.0</v>
      </c>
      <c r="E22" s="204"/>
      <c r="F22" s="204"/>
      <c r="G22" s="202">
        <f t="shared" si="1"/>
        <v>0.718351864</v>
      </c>
      <c r="H22" s="199">
        <v>54918.0</v>
      </c>
      <c r="I22" s="192"/>
      <c r="J22" s="188"/>
      <c r="K22" s="199"/>
      <c r="L22" s="199">
        <v>21532.0</v>
      </c>
      <c r="M22" s="204"/>
      <c r="N22" s="204"/>
      <c r="O22" s="202">
        <f t="shared" si="3"/>
        <v>0.6326618705</v>
      </c>
      <c r="P22" s="205">
        <v>48367.0</v>
      </c>
      <c r="Q22" s="206"/>
      <c r="R22" s="206"/>
      <c r="S22" s="205"/>
      <c r="T22" s="205"/>
      <c r="U22" s="204"/>
      <c r="V22" s="204"/>
      <c r="W22" s="202">
        <f t="shared" si="4"/>
        <v>0.257030739</v>
      </c>
      <c r="X22" s="205">
        <v>19650.0</v>
      </c>
      <c r="Y22" s="204"/>
      <c r="Z22" s="204"/>
      <c r="AA22" s="202">
        <f t="shared" si="5"/>
        <v>0.1026553303</v>
      </c>
      <c r="AB22" s="205">
        <v>7848.0</v>
      </c>
      <c r="AC22" s="206"/>
      <c r="AD22" s="205">
        <v>431386.0</v>
      </c>
      <c r="AE22" s="206"/>
      <c r="AF22" s="206"/>
      <c r="AG22" s="205"/>
      <c r="AH22" s="205">
        <v>246055.0</v>
      </c>
      <c r="AI22" s="206"/>
      <c r="AJ22" s="205">
        <f t="shared" si="6"/>
        <v>185331</v>
      </c>
      <c r="AK22" s="206"/>
      <c r="AL22" s="206"/>
      <c r="AM22" s="206"/>
      <c r="AN22" s="206"/>
      <c r="AO22" s="206"/>
      <c r="AP22" s="206"/>
      <c r="AQ22" s="205"/>
      <c r="AR22" s="205"/>
      <c r="AS22" s="205"/>
      <c r="AT22" s="205"/>
      <c r="AU22" s="205"/>
      <c r="AV22" s="205"/>
      <c r="AW22" s="206"/>
      <c r="AX22" s="206"/>
      <c r="AY22" s="202">
        <f t="shared" si="7"/>
        <v>0.5823183877</v>
      </c>
      <c r="AZ22" s="199">
        <v>251204.0</v>
      </c>
      <c r="BA22" s="207"/>
      <c r="BB22" s="207"/>
      <c r="BC22" s="208">
        <f t="shared" si="8"/>
        <v>0.02717519808</v>
      </c>
      <c r="BD22" s="199">
        <v>11723.0</v>
      </c>
      <c r="BE22" s="202">
        <f t="shared" si="9"/>
        <v>0.7304131335</v>
      </c>
      <c r="BF22" s="199">
        <f t="shared" si="10"/>
        <v>315090</v>
      </c>
      <c r="BG22" s="203"/>
      <c r="BH22" s="199">
        <v>173129.0</v>
      </c>
      <c r="BI22" s="199">
        <v>141961.0</v>
      </c>
      <c r="BJ22" s="202">
        <f t="shared" si="11"/>
        <v>0.02132428962</v>
      </c>
      <c r="BK22" s="199">
        <v>9199.0</v>
      </c>
      <c r="BL22" s="203"/>
      <c r="BM22" s="199">
        <v>27.0</v>
      </c>
      <c r="BN22" s="209"/>
      <c r="BO22" s="209"/>
      <c r="BP22" s="210">
        <f t="shared" si="12"/>
        <v>0.8347547417</v>
      </c>
      <c r="BQ22" s="205">
        <v>63817.0</v>
      </c>
      <c r="BR22" s="209"/>
      <c r="BS22" s="209"/>
      <c r="BT22" s="210">
        <f t="shared" si="13"/>
        <v>0.9803793329</v>
      </c>
      <c r="BU22" s="205">
        <v>74950.0</v>
      </c>
      <c r="BV22" s="204"/>
      <c r="BW22" s="204"/>
      <c r="BX22" s="202">
        <f t="shared" si="14"/>
        <v>0.9339829954</v>
      </c>
      <c r="BY22" s="205">
        <v>71403.0</v>
      </c>
      <c r="BZ22" s="204"/>
      <c r="CA22" s="204"/>
      <c r="CB22" s="202">
        <f t="shared" si="15"/>
        <v>0.9725179856</v>
      </c>
      <c r="CC22" s="205">
        <v>74349.0</v>
      </c>
      <c r="CD22" s="209"/>
      <c r="CE22" s="209"/>
      <c r="CF22" s="210">
        <f t="shared" si="16"/>
        <v>0.9858731197</v>
      </c>
      <c r="CG22" s="205">
        <v>75370.0</v>
      </c>
      <c r="CH22" s="204"/>
      <c r="CI22" s="204"/>
      <c r="CJ22" s="202">
        <f t="shared" si="17"/>
        <v>0.6954610857</v>
      </c>
      <c r="CK22" s="205">
        <v>53168.0</v>
      </c>
      <c r="CL22" s="202">
        <f t="shared" si="18"/>
        <v>0.5851536952</v>
      </c>
      <c r="CM22" s="205">
        <v>44735.0</v>
      </c>
      <c r="CN22" s="204"/>
      <c r="CO22" s="204"/>
      <c r="CP22" s="202">
        <f t="shared" si="19"/>
        <v>0.9465663833</v>
      </c>
      <c r="CQ22" s="205">
        <v>72365.0</v>
      </c>
      <c r="CR22" s="204"/>
      <c r="CS22" s="204"/>
      <c r="CT22" s="202">
        <f t="shared" si="20"/>
        <v>0.3330019621</v>
      </c>
      <c r="CU22" s="205">
        <v>25458.0</v>
      </c>
      <c r="CV22" s="204"/>
      <c r="CW22" s="204"/>
      <c r="CX22" s="202">
        <f t="shared" si="21"/>
        <v>0.2954872466</v>
      </c>
      <c r="CY22" s="205">
        <v>22590.0</v>
      </c>
      <c r="CZ22" s="204"/>
      <c r="DA22" s="204"/>
      <c r="DB22" s="202">
        <f t="shared" si="22"/>
        <v>0.5890385873</v>
      </c>
      <c r="DC22" s="205">
        <v>45032.0</v>
      </c>
    </row>
    <row r="23">
      <c r="A23" s="185" t="s">
        <v>60</v>
      </c>
      <c r="B23" s="211" t="s">
        <v>259</v>
      </c>
      <c r="C23" s="194">
        <v>2055.0</v>
      </c>
      <c r="D23" s="189">
        <v>2082.0</v>
      </c>
      <c r="E23" s="190">
        <v>0.9148418491484185</v>
      </c>
      <c r="F23" s="194">
        <v>1880.0</v>
      </c>
      <c r="G23" s="191">
        <f t="shared" si="1"/>
        <v>0.9024975985</v>
      </c>
      <c r="H23" s="189">
        <v>1879.0</v>
      </c>
      <c r="I23" s="192">
        <f>(J23/C23)</f>
        <v>0.08515815085</v>
      </c>
      <c r="J23" s="194">
        <f>(C23-F23)</f>
        <v>175</v>
      </c>
      <c r="K23" s="189"/>
      <c r="L23" s="189">
        <f t="shared" ref="L23:L25" si="26">D23-H23</f>
        <v>203</v>
      </c>
      <c r="M23" s="190">
        <v>0.6929440389294403</v>
      </c>
      <c r="N23" s="194">
        <v>1424.0</v>
      </c>
      <c r="O23" s="191">
        <f t="shared" si="3"/>
        <v>0.6868395773</v>
      </c>
      <c r="P23" s="189">
        <v>1430.0</v>
      </c>
      <c r="Q23" s="190">
        <v>0.19367396593673966</v>
      </c>
      <c r="R23" s="194">
        <v>398.0</v>
      </c>
      <c r="S23" s="189"/>
      <c r="T23" s="189"/>
      <c r="U23" s="190">
        <v>0.07396593673965937</v>
      </c>
      <c r="V23" s="194">
        <v>152.0</v>
      </c>
      <c r="W23" s="191">
        <f t="shared" si="4"/>
        <v>0.07540826129</v>
      </c>
      <c r="X23" s="189">
        <v>157.0</v>
      </c>
      <c r="Y23" s="190">
        <v>0.009245742092457421</v>
      </c>
      <c r="Z23" s="194">
        <v>19.0</v>
      </c>
      <c r="AA23" s="191">
        <f t="shared" si="5"/>
        <v>0.04082612872</v>
      </c>
      <c r="AB23" s="189">
        <v>85.0</v>
      </c>
      <c r="AC23" s="194">
        <v>11319.0</v>
      </c>
      <c r="AD23" s="189">
        <v>11399.0</v>
      </c>
      <c r="AE23" s="190">
        <v>0.8240127219719057</v>
      </c>
      <c r="AF23" s="194">
        <v>9327.0</v>
      </c>
      <c r="AG23" s="189"/>
      <c r="AH23" s="189">
        <v>9182.0</v>
      </c>
      <c r="AI23" s="188"/>
      <c r="AJ23" s="189">
        <f t="shared" si="6"/>
        <v>2217</v>
      </c>
      <c r="AK23" s="216">
        <v>0.0</v>
      </c>
      <c r="AL23" s="216">
        <v>0.0</v>
      </c>
      <c r="AM23" s="216">
        <v>0.0</v>
      </c>
      <c r="AN23" s="216">
        <v>0.0</v>
      </c>
      <c r="AO23" s="216">
        <v>0.0</v>
      </c>
      <c r="AP23" s="216">
        <v>0.0</v>
      </c>
      <c r="AQ23" s="217">
        <v>0.0</v>
      </c>
      <c r="AR23" s="217">
        <v>0.0</v>
      </c>
      <c r="AS23" s="217">
        <v>0.0</v>
      </c>
      <c r="AT23" s="217">
        <v>0.0</v>
      </c>
      <c r="AU23" s="217">
        <v>0.0</v>
      </c>
      <c r="AV23" s="217">
        <v>0.0</v>
      </c>
      <c r="AW23" s="190">
        <v>0.2656595105574697</v>
      </c>
      <c r="AX23" s="194">
        <v>3007.0</v>
      </c>
      <c r="AY23" s="191">
        <f t="shared" si="7"/>
        <v>0.2863409071</v>
      </c>
      <c r="AZ23" s="189">
        <v>3264.0</v>
      </c>
      <c r="BA23" s="190">
        <v>0.0728862973760933</v>
      </c>
      <c r="BB23" s="194">
        <v>825.0</v>
      </c>
      <c r="BC23" s="193">
        <f t="shared" si="8"/>
        <v>0.06509342925</v>
      </c>
      <c r="BD23" s="189">
        <v>742.0</v>
      </c>
      <c r="BE23" s="191">
        <f t="shared" si="9"/>
        <v>0.7489253443</v>
      </c>
      <c r="BF23" s="189">
        <f t="shared" si="10"/>
        <v>8537</v>
      </c>
      <c r="BG23" s="194">
        <v>6483.0</v>
      </c>
      <c r="BH23" s="189">
        <v>5401.0</v>
      </c>
      <c r="BI23" s="189">
        <v>3136.0</v>
      </c>
      <c r="BJ23" s="191">
        <f t="shared" si="11"/>
        <v>0.007281340468</v>
      </c>
      <c r="BK23" s="189">
        <v>83.0</v>
      </c>
      <c r="BL23" s="194"/>
      <c r="BM23" s="195">
        <v>26.06</v>
      </c>
      <c r="BN23" s="219">
        <v>0.94</v>
      </c>
      <c r="BO23" s="196"/>
      <c r="BP23" s="197">
        <f t="shared" si="12"/>
        <v>0.9193083573</v>
      </c>
      <c r="BQ23" s="189">
        <v>1914.0</v>
      </c>
      <c r="BR23" s="190">
        <v>1.0</v>
      </c>
      <c r="BS23" s="194">
        <v>2055.0</v>
      </c>
      <c r="BT23" s="197">
        <f t="shared" si="13"/>
        <v>1</v>
      </c>
      <c r="BU23" s="189">
        <v>2082.0</v>
      </c>
      <c r="BV23" s="190">
        <v>0.5975669099756691</v>
      </c>
      <c r="BW23" s="194">
        <v>1228.0</v>
      </c>
      <c r="BX23" s="191">
        <f t="shared" si="14"/>
        <v>0.5456292027</v>
      </c>
      <c r="BY23" s="189">
        <v>1136.0</v>
      </c>
      <c r="BZ23" s="190">
        <v>0.6194647201946472</v>
      </c>
      <c r="CA23" s="194">
        <v>1273.0</v>
      </c>
      <c r="CB23" s="191">
        <f t="shared" si="15"/>
        <v>0.585975024</v>
      </c>
      <c r="CC23" s="189">
        <v>1220.0</v>
      </c>
      <c r="CD23" s="190">
        <v>0.6355231143552311</v>
      </c>
      <c r="CE23" s="194">
        <v>1306.0</v>
      </c>
      <c r="CF23" s="197">
        <f t="shared" si="16"/>
        <v>0.6109510086</v>
      </c>
      <c r="CG23" s="189">
        <v>1272.0</v>
      </c>
      <c r="CH23" s="190">
        <v>0.6681265206812652</v>
      </c>
      <c r="CI23" s="194">
        <v>1373.0</v>
      </c>
      <c r="CJ23" s="191">
        <f t="shared" si="17"/>
        <v>0.7243035543</v>
      </c>
      <c r="CK23" s="189">
        <v>1508.0</v>
      </c>
      <c r="CL23" s="191">
        <f t="shared" si="18"/>
        <v>0.6983669549</v>
      </c>
      <c r="CM23" s="189">
        <v>1454.0</v>
      </c>
      <c r="CN23" s="190">
        <v>0.7854014598540145</v>
      </c>
      <c r="CO23" s="194">
        <v>1614.0</v>
      </c>
      <c r="CP23" s="191">
        <f t="shared" si="19"/>
        <v>0.8357348703</v>
      </c>
      <c r="CQ23" s="189">
        <v>1740.0</v>
      </c>
      <c r="CR23" s="219">
        <v>0.44</v>
      </c>
      <c r="CS23" s="190"/>
      <c r="CT23" s="191">
        <f t="shared" si="20"/>
        <v>0.2728146013</v>
      </c>
      <c r="CU23" s="189">
        <v>568.0</v>
      </c>
      <c r="CV23" s="190">
        <v>0.175669099756691</v>
      </c>
      <c r="CW23" s="220">
        <v>361.0</v>
      </c>
      <c r="CX23" s="191">
        <f t="shared" si="21"/>
        <v>0.2901056676</v>
      </c>
      <c r="CY23" s="189">
        <v>604.0</v>
      </c>
      <c r="CZ23" s="219">
        <v>0.99</v>
      </c>
      <c r="DA23" s="220">
        <v>2028.0</v>
      </c>
      <c r="DB23" s="191">
        <f t="shared" si="22"/>
        <v>0.8467819404</v>
      </c>
      <c r="DC23" s="189">
        <v>1763.0</v>
      </c>
    </row>
    <row r="24">
      <c r="A24" s="185"/>
      <c r="B24" s="183" t="s">
        <v>260</v>
      </c>
      <c r="C24" s="188"/>
      <c r="D24" s="189">
        <v>2031.0</v>
      </c>
      <c r="E24" s="190"/>
      <c r="F24" s="190"/>
      <c r="G24" s="191">
        <f t="shared" si="1"/>
        <v>0.8798621369</v>
      </c>
      <c r="H24" s="189">
        <v>1787.0</v>
      </c>
      <c r="I24" s="192"/>
      <c r="J24" s="188"/>
      <c r="K24" s="189"/>
      <c r="L24" s="189">
        <f t="shared" si="26"/>
        <v>244</v>
      </c>
      <c r="M24" s="190"/>
      <c r="N24" s="190"/>
      <c r="O24" s="191">
        <f t="shared" si="3"/>
        <v>0.753323486</v>
      </c>
      <c r="P24" s="189">
        <v>1530.0</v>
      </c>
      <c r="Q24" s="188"/>
      <c r="R24" s="188"/>
      <c r="S24" s="189"/>
      <c r="T24" s="189"/>
      <c r="U24" s="190"/>
      <c r="V24" s="190"/>
      <c r="W24" s="191">
        <f t="shared" si="4"/>
        <v>0.06794682422</v>
      </c>
      <c r="X24" s="189">
        <v>138.0</v>
      </c>
      <c r="Y24" s="190"/>
      <c r="Z24" s="190"/>
      <c r="AA24" s="191">
        <f t="shared" si="5"/>
        <v>0.1329394387</v>
      </c>
      <c r="AB24" s="189">
        <v>270.0</v>
      </c>
      <c r="AC24" s="188"/>
      <c r="AD24" s="189">
        <v>8494.0</v>
      </c>
      <c r="AE24" s="188"/>
      <c r="AF24" s="188"/>
      <c r="AG24" s="189"/>
      <c r="AH24" s="189">
        <v>6518.0</v>
      </c>
      <c r="AI24" s="188"/>
      <c r="AJ24" s="189">
        <f t="shared" si="6"/>
        <v>1976</v>
      </c>
      <c r="AK24" s="188"/>
      <c r="AL24" s="188"/>
      <c r="AM24" s="188"/>
      <c r="AN24" s="188"/>
      <c r="AO24" s="188"/>
      <c r="AP24" s="188"/>
      <c r="AQ24" s="189"/>
      <c r="AR24" s="189"/>
      <c r="AS24" s="189"/>
      <c r="AT24" s="189"/>
      <c r="AU24" s="189"/>
      <c r="AV24" s="189"/>
      <c r="AW24" s="188"/>
      <c r="AX24" s="188"/>
      <c r="AY24" s="191">
        <f t="shared" si="7"/>
        <v>0.2821991994</v>
      </c>
      <c r="AZ24" s="189">
        <v>2397.0</v>
      </c>
      <c r="BA24" s="192"/>
      <c r="BB24" s="192"/>
      <c r="BC24" s="193">
        <f t="shared" si="8"/>
        <v>0.07734871674</v>
      </c>
      <c r="BD24" s="189">
        <v>657.0</v>
      </c>
      <c r="BE24" s="191">
        <f t="shared" si="9"/>
        <v>0.8294089946</v>
      </c>
      <c r="BF24" s="189">
        <f t="shared" si="10"/>
        <v>7045</v>
      </c>
      <c r="BG24" s="188"/>
      <c r="BH24" s="189">
        <v>4399.0</v>
      </c>
      <c r="BI24" s="189">
        <v>2646.0</v>
      </c>
      <c r="BJ24" s="191">
        <f t="shared" si="11"/>
        <v>0.02319284201</v>
      </c>
      <c r="BK24" s="189">
        <v>197.0</v>
      </c>
      <c r="BL24" s="194"/>
      <c r="BM24" s="195">
        <v>18.43</v>
      </c>
      <c r="BN24" s="196"/>
      <c r="BO24" s="196"/>
      <c r="BP24" s="197">
        <f t="shared" si="12"/>
        <v>0.8961102905</v>
      </c>
      <c r="BQ24" s="189">
        <v>1820.0</v>
      </c>
      <c r="BR24" s="196"/>
      <c r="BS24" s="196"/>
      <c r="BT24" s="197">
        <f t="shared" si="13"/>
        <v>0.9167897587</v>
      </c>
      <c r="BU24" s="189">
        <v>1862.0</v>
      </c>
      <c r="BV24" s="190"/>
      <c r="BW24" s="190"/>
      <c r="BX24" s="191">
        <f t="shared" si="14"/>
        <v>0.5273264402</v>
      </c>
      <c r="BY24" s="189">
        <v>1071.0</v>
      </c>
      <c r="BZ24" s="190"/>
      <c r="CA24" s="190"/>
      <c r="CB24" s="191">
        <f t="shared" si="15"/>
        <v>0.6661742984</v>
      </c>
      <c r="CC24" s="189">
        <v>1353.0</v>
      </c>
      <c r="CD24" s="196"/>
      <c r="CE24" s="196"/>
      <c r="CF24" s="197">
        <f t="shared" si="16"/>
        <v>0.6454948301</v>
      </c>
      <c r="CG24" s="189">
        <v>1311.0</v>
      </c>
      <c r="CH24" s="190"/>
      <c r="CI24" s="190"/>
      <c r="CJ24" s="191">
        <f t="shared" si="17"/>
        <v>0.6090595766</v>
      </c>
      <c r="CK24" s="189">
        <v>1237.0</v>
      </c>
      <c r="CL24" s="191">
        <f t="shared" si="18"/>
        <v>0.6528803545</v>
      </c>
      <c r="CM24" s="189">
        <v>1326.0</v>
      </c>
      <c r="CN24" s="190"/>
      <c r="CO24" s="190"/>
      <c r="CP24" s="191">
        <f t="shared" si="19"/>
        <v>0.9286065977</v>
      </c>
      <c r="CQ24" s="189">
        <v>1886.0</v>
      </c>
      <c r="CR24" s="190"/>
      <c r="CS24" s="190"/>
      <c r="CT24" s="191">
        <f t="shared" si="20"/>
        <v>0.2806499261</v>
      </c>
      <c r="CU24" s="189">
        <v>570.0</v>
      </c>
      <c r="CV24" s="190"/>
      <c r="CW24" s="190"/>
      <c r="CX24" s="191">
        <f t="shared" si="21"/>
        <v>0.2299359921</v>
      </c>
      <c r="CY24" s="189">
        <v>467.0</v>
      </c>
      <c r="CZ24" s="190"/>
      <c r="DA24" s="190"/>
      <c r="DB24" s="191">
        <f t="shared" si="22"/>
        <v>0.8754308223</v>
      </c>
      <c r="DC24" s="189">
        <v>1778.0</v>
      </c>
    </row>
    <row r="25">
      <c r="A25" s="185"/>
      <c r="B25" s="183" t="s">
        <v>261</v>
      </c>
      <c r="C25" s="188"/>
      <c r="D25" s="189">
        <v>1771.0</v>
      </c>
      <c r="E25" s="190"/>
      <c r="F25" s="190"/>
      <c r="G25" s="191">
        <f t="shared" si="1"/>
        <v>0</v>
      </c>
      <c r="H25" s="189">
        <v>0.0</v>
      </c>
      <c r="I25" s="192"/>
      <c r="J25" s="188"/>
      <c r="K25" s="189"/>
      <c r="L25" s="189">
        <f t="shared" si="26"/>
        <v>1771</v>
      </c>
      <c r="M25" s="190"/>
      <c r="N25" s="190"/>
      <c r="O25" s="191">
        <f t="shared" si="3"/>
        <v>0.002823263693</v>
      </c>
      <c r="P25" s="189">
        <v>5.0</v>
      </c>
      <c r="Q25" s="188"/>
      <c r="R25" s="188"/>
      <c r="S25" s="189"/>
      <c r="T25" s="189"/>
      <c r="U25" s="190"/>
      <c r="V25" s="190"/>
      <c r="W25" s="191">
        <f t="shared" si="4"/>
        <v>0.5042348955</v>
      </c>
      <c r="X25" s="189">
        <v>893.0</v>
      </c>
      <c r="Y25" s="190"/>
      <c r="Z25" s="190"/>
      <c r="AA25" s="191">
        <f t="shared" si="5"/>
        <v>0.01524562394</v>
      </c>
      <c r="AB25" s="189">
        <v>27.0</v>
      </c>
      <c r="AC25" s="188"/>
      <c r="AD25" s="189">
        <v>37652.0</v>
      </c>
      <c r="AE25" s="188"/>
      <c r="AF25" s="188"/>
      <c r="AG25" s="189"/>
      <c r="AH25" s="189">
        <v>0.0</v>
      </c>
      <c r="AI25" s="188"/>
      <c r="AJ25" s="189">
        <f t="shared" si="6"/>
        <v>37652</v>
      </c>
      <c r="AK25" s="188"/>
      <c r="AL25" s="188"/>
      <c r="AM25" s="188"/>
      <c r="AN25" s="188"/>
      <c r="AO25" s="188"/>
      <c r="AP25" s="188"/>
      <c r="AQ25" s="189"/>
      <c r="AR25" s="189"/>
      <c r="AS25" s="189"/>
      <c r="AT25" s="189"/>
      <c r="AU25" s="189"/>
      <c r="AV25" s="189"/>
      <c r="AW25" s="188"/>
      <c r="AX25" s="188"/>
      <c r="AY25" s="191">
        <f t="shared" si="7"/>
        <v>0.7346223308</v>
      </c>
      <c r="AZ25" s="189">
        <v>27660.0</v>
      </c>
      <c r="BA25" s="192"/>
      <c r="BB25" s="192"/>
      <c r="BC25" s="193">
        <f t="shared" si="8"/>
        <v>0.06103261447</v>
      </c>
      <c r="BD25" s="189">
        <v>2298.0</v>
      </c>
      <c r="BE25" s="191">
        <f t="shared" si="9"/>
        <v>0.9223945607</v>
      </c>
      <c r="BF25" s="189">
        <f t="shared" si="10"/>
        <v>34730</v>
      </c>
      <c r="BG25" s="188"/>
      <c r="BH25" s="189">
        <v>17725.0</v>
      </c>
      <c r="BI25" s="189">
        <v>17005.0</v>
      </c>
      <c r="BJ25" s="191">
        <f t="shared" si="11"/>
        <v>0.01566981834</v>
      </c>
      <c r="BK25" s="189">
        <v>590.0</v>
      </c>
      <c r="BL25" s="194"/>
      <c r="BM25" s="195">
        <v>33.38</v>
      </c>
      <c r="BN25" s="196"/>
      <c r="BO25" s="196"/>
      <c r="BP25" s="197">
        <f t="shared" si="12"/>
        <v>0.9909655562</v>
      </c>
      <c r="BQ25" s="189">
        <v>1755.0</v>
      </c>
      <c r="BR25" s="196"/>
      <c r="BS25" s="196"/>
      <c r="BT25" s="197">
        <f t="shared" si="13"/>
        <v>1</v>
      </c>
      <c r="BU25" s="189">
        <v>1771.0</v>
      </c>
      <c r="BV25" s="190"/>
      <c r="BW25" s="190"/>
      <c r="BX25" s="191">
        <f t="shared" si="14"/>
        <v>0.09486166008</v>
      </c>
      <c r="BY25" s="189">
        <v>168.0</v>
      </c>
      <c r="BZ25" s="190"/>
      <c r="CA25" s="190"/>
      <c r="CB25" s="191">
        <f t="shared" si="15"/>
        <v>0.09599096556</v>
      </c>
      <c r="CC25" s="189">
        <v>170.0</v>
      </c>
      <c r="CD25" s="196"/>
      <c r="CE25" s="196"/>
      <c r="CF25" s="197">
        <f t="shared" si="16"/>
        <v>1</v>
      </c>
      <c r="CG25" s="189">
        <v>1771.0</v>
      </c>
      <c r="CH25" s="190"/>
      <c r="CI25" s="190"/>
      <c r="CJ25" s="191">
        <f t="shared" si="17"/>
        <v>0.9440993789</v>
      </c>
      <c r="CK25" s="189">
        <v>1672.0</v>
      </c>
      <c r="CL25" s="191">
        <f t="shared" si="18"/>
        <v>0.5962732919</v>
      </c>
      <c r="CM25" s="189">
        <v>1056.0</v>
      </c>
      <c r="CN25" s="190"/>
      <c r="CO25" s="190"/>
      <c r="CP25" s="191">
        <f t="shared" si="19"/>
        <v>0.9915302089</v>
      </c>
      <c r="CQ25" s="189">
        <v>1756.0</v>
      </c>
      <c r="CR25" s="190"/>
      <c r="CS25" s="190"/>
      <c r="CT25" s="191">
        <f t="shared" si="20"/>
        <v>0.3551665726</v>
      </c>
      <c r="CU25" s="189">
        <v>629.0</v>
      </c>
      <c r="CV25" s="190"/>
      <c r="CW25" s="190"/>
      <c r="CX25" s="191">
        <f t="shared" si="21"/>
        <v>0.9593450028</v>
      </c>
      <c r="CY25" s="189">
        <v>1699.0</v>
      </c>
      <c r="CZ25" s="190"/>
      <c r="DA25" s="190"/>
      <c r="DB25" s="191">
        <f t="shared" si="22"/>
        <v>0.3687182383</v>
      </c>
      <c r="DC25" s="189">
        <v>653.0</v>
      </c>
    </row>
    <row r="26">
      <c r="A26" s="177"/>
      <c r="B26" s="178" t="s">
        <v>246</v>
      </c>
      <c r="C26" s="203">
        <v>109942.0</v>
      </c>
      <c r="D26" s="199">
        <v>109605.0</v>
      </c>
      <c r="E26" s="204">
        <v>0.7653126193811283</v>
      </c>
      <c r="F26" s="204"/>
      <c r="G26" s="202">
        <f t="shared" si="1"/>
        <v>0.7472560558</v>
      </c>
      <c r="H26" s="199">
        <v>81903.0</v>
      </c>
      <c r="I26" s="192"/>
      <c r="J26" s="188"/>
      <c r="K26" s="199"/>
      <c r="L26" s="199">
        <v>27702.0</v>
      </c>
      <c r="M26" s="204">
        <v>0.5937858143384693</v>
      </c>
      <c r="N26" s="204"/>
      <c r="O26" s="202">
        <f t="shared" si="3"/>
        <v>0.5918799325</v>
      </c>
      <c r="P26" s="205">
        <v>64873.0</v>
      </c>
      <c r="Q26" s="204">
        <v>0.0763675290995718</v>
      </c>
      <c r="R26" s="206"/>
      <c r="S26" s="202"/>
      <c r="T26" s="205"/>
      <c r="U26" s="204">
        <v>0.09173149990953501</v>
      </c>
      <c r="V26" s="204"/>
      <c r="W26" s="202">
        <f t="shared" si="4"/>
        <v>0.1757948999</v>
      </c>
      <c r="X26" s="205">
        <v>19268.0</v>
      </c>
      <c r="Y26" s="226">
        <v>0.03</v>
      </c>
      <c r="Z26" s="204"/>
      <c r="AA26" s="202">
        <f t="shared" si="5"/>
        <v>0.05388440308</v>
      </c>
      <c r="AB26" s="205">
        <v>5906.0</v>
      </c>
      <c r="AC26" s="206"/>
      <c r="AD26" s="205">
        <v>748589.0</v>
      </c>
      <c r="AE26" s="204">
        <v>0.5905145268625224</v>
      </c>
      <c r="AF26" s="206"/>
      <c r="AG26" s="205"/>
      <c r="AH26" s="205">
        <v>423150.0</v>
      </c>
      <c r="AI26" s="206"/>
      <c r="AJ26" s="205">
        <f t="shared" si="6"/>
        <v>325439</v>
      </c>
      <c r="AK26" s="206"/>
      <c r="AL26" s="206"/>
      <c r="AM26" s="206"/>
      <c r="AN26" s="206"/>
      <c r="AO26" s="206"/>
      <c r="AP26" s="206"/>
      <c r="AQ26" s="205"/>
      <c r="AR26" s="205"/>
      <c r="AS26" s="205"/>
      <c r="AT26" s="205"/>
      <c r="AU26" s="205"/>
      <c r="AV26" s="205"/>
      <c r="AW26" s="226">
        <v>0.47</v>
      </c>
      <c r="AX26" s="206"/>
      <c r="AY26" s="202">
        <f t="shared" si="7"/>
        <v>0.4841014228</v>
      </c>
      <c r="AZ26" s="199">
        <v>362393.0</v>
      </c>
      <c r="BA26" s="204">
        <v>0.08433176432397338</v>
      </c>
      <c r="BB26" s="207"/>
      <c r="BC26" s="208">
        <f t="shared" si="8"/>
        <v>0.08334479935</v>
      </c>
      <c r="BD26" s="199">
        <v>62391.0</v>
      </c>
      <c r="BE26" s="202">
        <f t="shared" si="9"/>
        <v>0.8081310305</v>
      </c>
      <c r="BF26" s="199">
        <f t="shared" si="10"/>
        <v>604958</v>
      </c>
      <c r="BG26" s="203"/>
      <c r="BH26" s="199">
        <v>358492.0</v>
      </c>
      <c r="BI26" s="199">
        <v>246466.0</v>
      </c>
      <c r="BJ26" s="202">
        <f t="shared" si="11"/>
        <v>0.01308194483</v>
      </c>
      <c r="BK26" s="199">
        <v>9793.0</v>
      </c>
      <c r="BL26" s="227">
        <v>29.086187307255315</v>
      </c>
      <c r="BM26" s="199">
        <v>24.0</v>
      </c>
      <c r="BN26" s="226">
        <v>0.98</v>
      </c>
      <c r="BO26" s="209"/>
      <c r="BP26" s="210">
        <f t="shared" si="12"/>
        <v>0.973486611</v>
      </c>
      <c r="BQ26" s="205">
        <v>106699.0</v>
      </c>
      <c r="BR26" s="226">
        <v>0.97</v>
      </c>
      <c r="BS26" s="209"/>
      <c r="BT26" s="210">
        <f t="shared" si="13"/>
        <v>0.9799735414</v>
      </c>
      <c r="BU26" s="205">
        <v>107410.0</v>
      </c>
      <c r="BV26" s="226">
        <v>0.89</v>
      </c>
      <c r="BW26" s="204"/>
      <c r="BX26" s="202">
        <f t="shared" si="14"/>
        <v>0.909356325</v>
      </c>
      <c r="BY26" s="205">
        <v>99670.0</v>
      </c>
      <c r="BZ26" s="226">
        <v>0.92</v>
      </c>
      <c r="CA26" s="204"/>
      <c r="CB26" s="202">
        <f t="shared" si="15"/>
        <v>0.9370284202</v>
      </c>
      <c r="CC26" s="205">
        <v>102703.0</v>
      </c>
      <c r="CD26" s="226">
        <v>0.87</v>
      </c>
      <c r="CE26" s="209"/>
      <c r="CF26" s="210">
        <f t="shared" si="16"/>
        <v>0.8555357876</v>
      </c>
      <c r="CG26" s="205">
        <v>93771.0</v>
      </c>
      <c r="CH26" s="226">
        <v>0.71</v>
      </c>
      <c r="CI26" s="204"/>
      <c r="CJ26" s="202">
        <f t="shared" si="17"/>
        <v>0.728762374</v>
      </c>
      <c r="CK26" s="205">
        <v>79876.0</v>
      </c>
      <c r="CL26" s="202">
        <f t="shared" si="18"/>
        <v>0.7884676794</v>
      </c>
      <c r="CM26" s="205">
        <v>86420.0</v>
      </c>
      <c r="CN26" s="226">
        <v>0.81</v>
      </c>
      <c r="CO26" s="204"/>
      <c r="CP26" s="202">
        <f t="shared" si="19"/>
        <v>0.8949682952</v>
      </c>
      <c r="CQ26" s="205">
        <v>98093.0</v>
      </c>
      <c r="CR26" s="226">
        <v>0.6</v>
      </c>
      <c r="CS26" s="204"/>
      <c r="CT26" s="202">
        <f t="shared" si="20"/>
        <v>0.6558459924</v>
      </c>
      <c r="CU26" s="205">
        <v>71884.0</v>
      </c>
      <c r="CV26" s="226">
        <v>0.34</v>
      </c>
      <c r="CW26" s="204"/>
      <c r="CX26" s="202">
        <f t="shared" si="21"/>
        <v>0.4794763013</v>
      </c>
      <c r="CY26" s="205">
        <v>52553.0</v>
      </c>
      <c r="CZ26" s="204">
        <v>0.9448345491259027</v>
      </c>
      <c r="DA26" s="204"/>
      <c r="DB26" s="202">
        <f t="shared" si="22"/>
        <v>0.7648008759</v>
      </c>
      <c r="DC26" s="205">
        <v>83826.0</v>
      </c>
    </row>
    <row r="27">
      <c r="A27" s="185" t="s">
        <v>69</v>
      </c>
      <c r="B27" s="183" t="s">
        <v>262</v>
      </c>
      <c r="C27" s="188"/>
      <c r="D27" s="189">
        <v>834.0</v>
      </c>
      <c r="E27" s="190"/>
      <c r="F27" s="190"/>
      <c r="G27" s="191">
        <f t="shared" si="1"/>
        <v>0.8237410072</v>
      </c>
      <c r="H27" s="189">
        <v>687.0</v>
      </c>
      <c r="I27" s="192"/>
      <c r="J27" s="188"/>
      <c r="K27" s="189"/>
      <c r="L27" s="189">
        <f t="shared" ref="L27:L29" si="27">D27-H27</f>
        <v>147</v>
      </c>
      <c r="M27" s="190"/>
      <c r="N27" s="190"/>
      <c r="O27" s="191">
        <f t="shared" si="3"/>
        <v>0.7146282974</v>
      </c>
      <c r="P27" s="189">
        <v>596.0</v>
      </c>
      <c r="Q27" s="188"/>
      <c r="R27" s="188"/>
      <c r="S27" s="189"/>
      <c r="T27" s="189"/>
      <c r="U27" s="190"/>
      <c r="V27" s="190"/>
      <c r="W27" s="191">
        <f t="shared" si="4"/>
        <v>0.2697841727</v>
      </c>
      <c r="X27" s="189">
        <v>225.0</v>
      </c>
      <c r="Y27" s="190"/>
      <c r="Z27" s="190"/>
      <c r="AA27" s="191">
        <f t="shared" si="5"/>
        <v>0.06594724221</v>
      </c>
      <c r="AB27" s="189">
        <v>55.0</v>
      </c>
      <c r="AC27" s="188"/>
      <c r="AD27" s="189">
        <v>8575.0</v>
      </c>
      <c r="AE27" s="188"/>
      <c r="AF27" s="188"/>
      <c r="AG27" s="189"/>
      <c r="AH27" s="189">
        <v>6026.0</v>
      </c>
      <c r="AI27" s="188"/>
      <c r="AJ27" s="189">
        <v>2549.0</v>
      </c>
      <c r="AK27" s="188"/>
      <c r="AL27" s="188"/>
      <c r="AM27" s="188"/>
      <c r="AN27" s="188"/>
      <c r="AO27" s="188"/>
      <c r="AP27" s="188"/>
      <c r="AQ27" s="189"/>
      <c r="AR27" s="189"/>
      <c r="AS27" s="189"/>
      <c r="AT27" s="189"/>
      <c r="AU27" s="189"/>
      <c r="AV27" s="189"/>
      <c r="AW27" s="188"/>
      <c r="AX27" s="188"/>
      <c r="AY27" s="191">
        <f t="shared" si="7"/>
        <v>0.7272303207</v>
      </c>
      <c r="AZ27" s="189">
        <v>6236.0</v>
      </c>
      <c r="BA27" s="192"/>
      <c r="BB27" s="192"/>
      <c r="BC27" s="193">
        <f t="shared" si="8"/>
        <v>0.2542274052</v>
      </c>
      <c r="BD27" s="189">
        <v>2180.0</v>
      </c>
      <c r="BE27" s="191">
        <f t="shared" si="9"/>
        <v>0.915335277</v>
      </c>
      <c r="BF27" s="189">
        <f t="shared" si="10"/>
        <v>7849</v>
      </c>
      <c r="BG27" s="188"/>
      <c r="BH27" s="189">
        <v>2674.0</v>
      </c>
      <c r="BI27" s="189">
        <v>5175.0</v>
      </c>
      <c r="BJ27" s="191">
        <f t="shared" si="11"/>
        <v>0.0472303207</v>
      </c>
      <c r="BK27" s="189">
        <v>405.0</v>
      </c>
      <c r="BL27" s="194"/>
      <c r="BM27" s="195">
        <v>28.64</v>
      </c>
      <c r="BN27" s="196"/>
      <c r="BO27" s="196"/>
      <c r="BP27" s="197">
        <f t="shared" si="12"/>
        <v>1</v>
      </c>
      <c r="BQ27" s="189">
        <v>834.0</v>
      </c>
      <c r="BR27" s="196"/>
      <c r="BS27" s="196"/>
      <c r="BT27" s="197">
        <f t="shared" si="13"/>
        <v>1</v>
      </c>
      <c r="BU27" s="189">
        <v>834.0</v>
      </c>
      <c r="BV27" s="190"/>
      <c r="BW27" s="190"/>
      <c r="BX27" s="191">
        <f t="shared" si="14"/>
        <v>0.4760191847</v>
      </c>
      <c r="BY27" s="189">
        <v>397.0</v>
      </c>
      <c r="BZ27" s="190"/>
      <c r="CA27" s="190"/>
      <c r="CB27" s="191">
        <f t="shared" si="15"/>
        <v>0.3872901679</v>
      </c>
      <c r="CC27" s="189">
        <v>323.0</v>
      </c>
      <c r="CD27" s="196"/>
      <c r="CE27" s="196"/>
      <c r="CF27" s="197">
        <f t="shared" si="16"/>
        <v>1</v>
      </c>
      <c r="CG27" s="189">
        <v>834.0</v>
      </c>
      <c r="CH27" s="190"/>
      <c r="CI27" s="190"/>
      <c r="CJ27" s="191">
        <f t="shared" si="17"/>
        <v>0.7074340528</v>
      </c>
      <c r="CK27" s="189">
        <v>590.0</v>
      </c>
      <c r="CL27" s="191">
        <f t="shared" si="18"/>
        <v>0.8645083933</v>
      </c>
      <c r="CM27" s="189">
        <v>721.0</v>
      </c>
      <c r="CN27" s="190"/>
      <c r="CO27" s="190"/>
      <c r="CP27" s="191">
        <f t="shared" si="19"/>
        <v>1</v>
      </c>
      <c r="CQ27" s="189">
        <v>834.0</v>
      </c>
      <c r="CR27" s="190"/>
      <c r="CS27" s="190"/>
      <c r="CT27" s="191">
        <f t="shared" si="20"/>
        <v>0.2505995204</v>
      </c>
      <c r="CU27" s="189">
        <v>209.0</v>
      </c>
      <c r="CV27" s="190"/>
      <c r="CW27" s="190"/>
      <c r="CX27" s="191">
        <f t="shared" si="21"/>
        <v>0.6007194245</v>
      </c>
      <c r="CY27" s="189">
        <v>501.0</v>
      </c>
      <c r="CZ27" s="190"/>
      <c r="DA27" s="190"/>
      <c r="DB27" s="191">
        <f t="shared" si="22"/>
        <v>0.7002398082</v>
      </c>
      <c r="DC27" s="189">
        <v>584.0</v>
      </c>
    </row>
    <row r="28">
      <c r="A28" s="185"/>
      <c r="B28" s="211" t="s">
        <v>263</v>
      </c>
      <c r="C28" s="194">
        <v>1105.0</v>
      </c>
      <c r="D28" s="189">
        <v>1080.0</v>
      </c>
      <c r="E28" s="190">
        <v>0.8371040723981901</v>
      </c>
      <c r="F28" s="194">
        <v>925.0</v>
      </c>
      <c r="G28" s="191">
        <f t="shared" si="1"/>
        <v>0.8231481481</v>
      </c>
      <c r="H28" s="189">
        <v>889.0</v>
      </c>
      <c r="I28" s="192">
        <f>(J28/C28)</f>
        <v>0.1628959276</v>
      </c>
      <c r="J28" s="194">
        <f>(C28-F28)</f>
        <v>180</v>
      </c>
      <c r="K28" s="189"/>
      <c r="L28" s="189">
        <f t="shared" si="27"/>
        <v>191</v>
      </c>
      <c r="M28" s="190">
        <v>0.7628959276018099</v>
      </c>
      <c r="N28" s="194">
        <v>843.0</v>
      </c>
      <c r="O28" s="191">
        <f t="shared" si="3"/>
        <v>0.7805555556</v>
      </c>
      <c r="P28" s="189">
        <v>843.0</v>
      </c>
      <c r="Q28" s="190">
        <v>0.00904977375565611</v>
      </c>
      <c r="R28" s="194">
        <v>10.0</v>
      </c>
      <c r="S28" s="189"/>
      <c r="T28" s="189"/>
      <c r="U28" s="190">
        <v>0.22081447963800904</v>
      </c>
      <c r="V28" s="194">
        <v>244.0</v>
      </c>
      <c r="W28" s="191">
        <f t="shared" si="4"/>
        <v>0.2055555556</v>
      </c>
      <c r="X28" s="189">
        <v>222.0</v>
      </c>
      <c r="Y28" s="190">
        <v>0.017194570135746608</v>
      </c>
      <c r="Z28" s="194">
        <v>19.0</v>
      </c>
      <c r="AA28" s="191">
        <f t="shared" si="5"/>
        <v>0.1287037037</v>
      </c>
      <c r="AB28" s="189">
        <v>139.0</v>
      </c>
      <c r="AC28" s="194">
        <v>8414.0</v>
      </c>
      <c r="AD28" s="189">
        <v>8470.0</v>
      </c>
      <c r="AE28" s="190">
        <v>0.6694794390301878</v>
      </c>
      <c r="AF28" s="194">
        <v>5633.0</v>
      </c>
      <c r="AG28" s="189"/>
      <c r="AH28" s="189">
        <v>5476.0</v>
      </c>
      <c r="AI28" s="188"/>
      <c r="AJ28" s="189">
        <f t="shared" ref="AJ28:AJ30" si="28">AD28-AH28</f>
        <v>2994</v>
      </c>
      <c r="AK28" s="216">
        <v>0.0</v>
      </c>
      <c r="AL28" s="216">
        <v>0.0</v>
      </c>
      <c r="AM28" s="216">
        <v>0.0</v>
      </c>
      <c r="AN28" s="216">
        <v>0.0</v>
      </c>
      <c r="AO28" s="216">
        <v>0.0</v>
      </c>
      <c r="AP28" s="216">
        <v>0.0</v>
      </c>
      <c r="AQ28" s="217">
        <v>0.0</v>
      </c>
      <c r="AR28" s="217">
        <v>0.0</v>
      </c>
      <c r="AS28" s="217">
        <v>0.0</v>
      </c>
      <c r="AT28" s="217">
        <v>0.0</v>
      </c>
      <c r="AU28" s="217">
        <v>0.0</v>
      </c>
      <c r="AV28" s="217">
        <v>0.0</v>
      </c>
      <c r="AW28" s="190">
        <v>0.7029950083194676</v>
      </c>
      <c r="AX28" s="194">
        <v>5915.0</v>
      </c>
      <c r="AY28" s="191">
        <f t="shared" si="7"/>
        <v>0.6896103896</v>
      </c>
      <c r="AZ28" s="189">
        <v>5841.0</v>
      </c>
      <c r="BA28" s="219">
        <v>0.405</v>
      </c>
      <c r="BB28" s="220">
        <v>3410.0</v>
      </c>
      <c r="BC28" s="193">
        <f t="shared" si="8"/>
        <v>0.3185360094</v>
      </c>
      <c r="BD28" s="189">
        <v>2698.0</v>
      </c>
      <c r="BE28" s="191">
        <f t="shared" si="9"/>
        <v>0.907674144</v>
      </c>
      <c r="BF28" s="189">
        <f t="shared" si="10"/>
        <v>7688</v>
      </c>
      <c r="BG28" s="194">
        <v>5015.0</v>
      </c>
      <c r="BH28" s="189">
        <v>2634.0</v>
      </c>
      <c r="BI28" s="189">
        <v>5054.0</v>
      </c>
      <c r="BJ28" s="191">
        <f t="shared" si="11"/>
        <v>0.04427390791</v>
      </c>
      <c r="BK28" s="189">
        <v>375.0</v>
      </c>
      <c r="BL28" s="194">
        <v>21.878416924173997</v>
      </c>
      <c r="BM28" s="195">
        <v>30.31</v>
      </c>
      <c r="BN28" s="219">
        <v>0.98</v>
      </c>
      <c r="BO28" s="196"/>
      <c r="BP28" s="197">
        <f t="shared" si="12"/>
        <v>0.9935185185</v>
      </c>
      <c r="BQ28" s="189">
        <v>1073.0</v>
      </c>
      <c r="BR28" s="190">
        <v>0.9972850678733032</v>
      </c>
      <c r="BS28" s="194">
        <v>1102.0</v>
      </c>
      <c r="BT28" s="197">
        <f t="shared" si="13"/>
        <v>0.9990740741</v>
      </c>
      <c r="BU28" s="189">
        <v>1079.0</v>
      </c>
      <c r="BV28" s="190">
        <v>0.6226244343891403</v>
      </c>
      <c r="BW28" s="194">
        <v>688.0</v>
      </c>
      <c r="BX28" s="191">
        <f t="shared" si="14"/>
        <v>0.6259259259</v>
      </c>
      <c r="BY28" s="189">
        <v>676.0</v>
      </c>
      <c r="BZ28" s="190">
        <v>0.5710407239819004</v>
      </c>
      <c r="CA28" s="194">
        <v>631.0</v>
      </c>
      <c r="CB28" s="191">
        <f t="shared" si="15"/>
        <v>0.5703703704</v>
      </c>
      <c r="CC28" s="189">
        <v>616.0</v>
      </c>
      <c r="CD28" s="190">
        <v>1.0</v>
      </c>
      <c r="CE28" s="194">
        <v>1105.0</v>
      </c>
      <c r="CF28" s="197">
        <f t="shared" si="16"/>
        <v>0.9990740741</v>
      </c>
      <c r="CG28" s="189">
        <v>1079.0</v>
      </c>
      <c r="CH28" s="190">
        <v>0.5194570135746607</v>
      </c>
      <c r="CI28" s="194">
        <v>574.0</v>
      </c>
      <c r="CJ28" s="191">
        <f t="shared" si="17"/>
        <v>0.562037037</v>
      </c>
      <c r="CK28" s="189">
        <v>607.0</v>
      </c>
      <c r="CL28" s="191">
        <f t="shared" si="18"/>
        <v>0.8601851852</v>
      </c>
      <c r="CM28" s="189">
        <v>929.0</v>
      </c>
      <c r="CN28" s="190">
        <v>0.6253393665158371</v>
      </c>
      <c r="CO28" s="194">
        <v>691.0</v>
      </c>
      <c r="CP28" s="191">
        <f t="shared" si="19"/>
        <v>0.6101851852</v>
      </c>
      <c r="CQ28" s="189">
        <v>659.0</v>
      </c>
      <c r="CR28" s="219">
        <v>0.38</v>
      </c>
      <c r="CS28" s="190"/>
      <c r="CT28" s="191">
        <f t="shared" si="20"/>
        <v>0.2962962963</v>
      </c>
      <c r="CU28" s="189">
        <v>320.0</v>
      </c>
      <c r="CV28" s="190">
        <v>0.38099547511312215</v>
      </c>
      <c r="CW28" s="194">
        <v>421.0</v>
      </c>
      <c r="CX28" s="191">
        <f t="shared" si="21"/>
        <v>0.4981481481</v>
      </c>
      <c r="CY28" s="189">
        <v>538.0</v>
      </c>
      <c r="CZ28" s="219">
        <v>0.74</v>
      </c>
      <c r="DA28" s="220">
        <v>822.0</v>
      </c>
      <c r="DB28" s="191">
        <f t="shared" si="22"/>
        <v>0.7592592593</v>
      </c>
      <c r="DC28" s="189">
        <v>820.0</v>
      </c>
    </row>
    <row r="29">
      <c r="A29" s="185"/>
      <c r="B29" s="183" t="s">
        <v>264</v>
      </c>
      <c r="C29" s="188"/>
      <c r="D29" s="189">
        <v>1030.0</v>
      </c>
      <c r="E29" s="190"/>
      <c r="F29" s="190"/>
      <c r="G29" s="191">
        <f t="shared" si="1"/>
        <v>0.5990291262</v>
      </c>
      <c r="H29" s="189">
        <v>617.0</v>
      </c>
      <c r="I29" s="192"/>
      <c r="J29" s="188"/>
      <c r="K29" s="189"/>
      <c r="L29" s="189">
        <f t="shared" si="27"/>
        <v>413</v>
      </c>
      <c r="M29" s="190"/>
      <c r="N29" s="190"/>
      <c r="O29" s="191">
        <f t="shared" si="3"/>
        <v>0.6310679612</v>
      </c>
      <c r="P29" s="189">
        <v>650.0</v>
      </c>
      <c r="Q29" s="188"/>
      <c r="R29" s="188"/>
      <c r="S29" s="189"/>
      <c r="T29" s="189"/>
      <c r="U29" s="190"/>
      <c r="V29" s="190"/>
      <c r="W29" s="191">
        <f t="shared" si="4"/>
        <v>0.3514563107</v>
      </c>
      <c r="X29" s="189">
        <v>362.0</v>
      </c>
      <c r="Y29" s="190"/>
      <c r="Z29" s="190"/>
      <c r="AA29" s="191">
        <f t="shared" si="5"/>
        <v>0.06601941748</v>
      </c>
      <c r="AB29" s="189">
        <v>68.0</v>
      </c>
      <c r="AC29" s="188"/>
      <c r="AD29" s="189">
        <v>11087.0</v>
      </c>
      <c r="AE29" s="188"/>
      <c r="AF29" s="188"/>
      <c r="AG29" s="189"/>
      <c r="AH29" s="189">
        <v>4383.0</v>
      </c>
      <c r="AI29" s="188"/>
      <c r="AJ29" s="189">
        <f t="shared" si="28"/>
        <v>6704</v>
      </c>
      <c r="AK29" s="188"/>
      <c r="AL29" s="188"/>
      <c r="AM29" s="188"/>
      <c r="AN29" s="188"/>
      <c r="AO29" s="188"/>
      <c r="AP29" s="188"/>
      <c r="AQ29" s="189"/>
      <c r="AR29" s="189"/>
      <c r="AS29" s="189"/>
      <c r="AT29" s="189"/>
      <c r="AU29" s="189"/>
      <c r="AV29" s="189"/>
      <c r="AW29" s="188"/>
      <c r="AX29" s="188"/>
      <c r="AY29" s="191">
        <f t="shared" si="7"/>
        <v>0.8711103094</v>
      </c>
      <c r="AZ29" s="189">
        <v>9658.0</v>
      </c>
      <c r="BA29" s="192"/>
      <c r="BB29" s="192"/>
      <c r="BC29" s="193">
        <f t="shared" si="8"/>
        <v>0.1784071435</v>
      </c>
      <c r="BD29" s="189">
        <v>1978.0</v>
      </c>
      <c r="BE29" s="191">
        <f t="shared" si="9"/>
        <v>0.9461531523</v>
      </c>
      <c r="BF29" s="189">
        <f t="shared" si="10"/>
        <v>10490</v>
      </c>
      <c r="BG29" s="188"/>
      <c r="BH29" s="189">
        <v>3458.0</v>
      </c>
      <c r="BI29" s="189">
        <v>7032.0</v>
      </c>
      <c r="BJ29" s="191">
        <f t="shared" si="11"/>
        <v>0.03770181293</v>
      </c>
      <c r="BK29" s="189">
        <v>418.0</v>
      </c>
      <c r="BL29" s="194"/>
      <c r="BM29" s="195">
        <v>27.43</v>
      </c>
      <c r="BN29" s="196"/>
      <c r="BO29" s="196"/>
      <c r="BP29" s="197">
        <f t="shared" si="12"/>
        <v>0.9961165049</v>
      </c>
      <c r="BQ29" s="189">
        <v>1026.0</v>
      </c>
      <c r="BR29" s="196"/>
      <c r="BS29" s="196"/>
      <c r="BT29" s="197">
        <f t="shared" si="13"/>
        <v>0.9990291262</v>
      </c>
      <c r="BU29" s="189">
        <v>1029.0</v>
      </c>
      <c r="BV29" s="190"/>
      <c r="BW29" s="190"/>
      <c r="BX29" s="191">
        <f t="shared" si="14"/>
        <v>0.5310679612</v>
      </c>
      <c r="BY29" s="189">
        <v>547.0</v>
      </c>
      <c r="BZ29" s="190"/>
      <c r="CA29" s="190"/>
      <c r="CB29" s="191">
        <f t="shared" si="15"/>
        <v>0.4776699029</v>
      </c>
      <c r="CC29" s="189">
        <v>492.0</v>
      </c>
      <c r="CD29" s="196"/>
      <c r="CE29" s="196"/>
      <c r="CF29" s="197">
        <f t="shared" si="16"/>
        <v>1</v>
      </c>
      <c r="CG29" s="189">
        <v>1030.0</v>
      </c>
      <c r="CH29" s="190"/>
      <c r="CI29" s="190"/>
      <c r="CJ29" s="191">
        <f t="shared" si="17"/>
        <v>0.7165048544</v>
      </c>
      <c r="CK29" s="189">
        <v>738.0</v>
      </c>
      <c r="CL29" s="191">
        <f t="shared" si="18"/>
        <v>0.8475728155</v>
      </c>
      <c r="CM29" s="189">
        <v>873.0</v>
      </c>
      <c r="CN29" s="190"/>
      <c r="CO29" s="190"/>
      <c r="CP29" s="191">
        <f t="shared" si="19"/>
        <v>0.8378640777</v>
      </c>
      <c r="CQ29" s="189">
        <v>863.0</v>
      </c>
      <c r="CR29" s="190"/>
      <c r="CS29" s="190"/>
      <c r="CT29" s="191">
        <f t="shared" si="20"/>
        <v>0.3116504854</v>
      </c>
      <c r="CU29" s="189">
        <v>321.0</v>
      </c>
      <c r="CV29" s="190"/>
      <c r="CW29" s="190"/>
      <c r="CX29" s="191">
        <f t="shared" si="21"/>
        <v>0.6708737864</v>
      </c>
      <c r="CY29" s="189">
        <v>691.0</v>
      </c>
      <c r="CZ29" s="190"/>
      <c r="DA29" s="190"/>
      <c r="DB29" s="191">
        <f t="shared" si="22"/>
        <v>0.6077669903</v>
      </c>
      <c r="DC29" s="189">
        <v>626.0</v>
      </c>
    </row>
    <row r="30">
      <c r="A30" s="177"/>
      <c r="B30" s="178" t="s">
        <v>246</v>
      </c>
      <c r="C30" s="203">
        <v>28637.0</v>
      </c>
      <c r="D30" s="199">
        <v>27701.0</v>
      </c>
      <c r="E30" s="204">
        <v>0.7770716206306526</v>
      </c>
      <c r="F30" s="204"/>
      <c r="G30" s="202">
        <f t="shared" si="1"/>
        <v>0.782462727</v>
      </c>
      <c r="H30" s="199">
        <v>21675.0</v>
      </c>
      <c r="I30" s="192"/>
      <c r="J30" s="188"/>
      <c r="K30" s="199"/>
      <c r="L30" s="199">
        <v>6026.0</v>
      </c>
      <c r="M30" s="204">
        <v>0.6694835352865175</v>
      </c>
      <c r="N30" s="204"/>
      <c r="O30" s="202">
        <f t="shared" si="3"/>
        <v>0.6916717808</v>
      </c>
      <c r="P30" s="205">
        <v>19160.0</v>
      </c>
      <c r="Q30" s="204">
        <v>0.0763675290995718</v>
      </c>
      <c r="R30" s="206"/>
      <c r="S30" s="205"/>
      <c r="T30" s="205"/>
      <c r="U30" s="204">
        <v>0.09173149990953501</v>
      </c>
      <c r="V30" s="204"/>
      <c r="W30" s="202">
        <f t="shared" si="4"/>
        <v>0.2880040432</v>
      </c>
      <c r="X30" s="205">
        <v>7978.0</v>
      </c>
      <c r="Y30" s="226">
        <v>0.01</v>
      </c>
      <c r="Z30" s="204"/>
      <c r="AA30" s="202">
        <f t="shared" si="5"/>
        <v>0.09107974441</v>
      </c>
      <c r="AB30" s="205">
        <v>2523.0</v>
      </c>
      <c r="AC30" s="206"/>
      <c r="AD30" s="205">
        <v>257134.0</v>
      </c>
      <c r="AE30" s="204">
        <v>0.6237635758817439</v>
      </c>
      <c r="AF30" s="206"/>
      <c r="AG30" s="205"/>
      <c r="AH30" s="205">
        <v>162591.0</v>
      </c>
      <c r="AI30" s="206"/>
      <c r="AJ30" s="205">
        <f t="shared" si="28"/>
        <v>94543</v>
      </c>
      <c r="AK30" s="206"/>
      <c r="AL30" s="206"/>
      <c r="AM30" s="206"/>
      <c r="AN30" s="206"/>
      <c r="AO30" s="206"/>
      <c r="AP30" s="206"/>
      <c r="AQ30" s="205"/>
      <c r="AR30" s="205"/>
      <c r="AS30" s="205"/>
      <c r="AT30" s="205"/>
      <c r="AU30" s="205"/>
      <c r="AV30" s="205"/>
      <c r="AW30" s="226">
        <v>0.75</v>
      </c>
      <c r="AX30" s="206"/>
      <c r="AY30" s="202">
        <f t="shared" si="7"/>
        <v>0.7522653558</v>
      </c>
      <c r="AZ30" s="199">
        <v>193433.0</v>
      </c>
      <c r="BA30" s="204">
        <v>0.3255604755505621</v>
      </c>
      <c r="BB30" s="207"/>
      <c r="BC30" s="208">
        <f t="shared" si="8"/>
        <v>0.2449967721</v>
      </c>
      <c r="BD30" s="199">
        <v>62997.0</v>
      </c>
      <c r="BE30" s="202">
        <f t="shared" si="9"/>
        <v>0.915553758</v>
      </c>
      <c r="BF30" s="199">
        <f t="shared" si="10"/>
        <v>235420</v>
      </c>
      <c r="BG30" s="203"/>
      <c r="BH30" s="199">
        <v>80043.0</v>
      </c>
      <c r="BI30" s="199">
        <v>155377.0</v>
      </c>
      <c r="BJ30" s="202">
        <f t="shared" si="11"/>
        <v>0.0594320471</v>
      </c>
      <c r="BK30" s="199">
        <v>15282.0</v>
      </c>
      <c r="BL30" s="227">
        <v>19.330036202351316</v>
      </c>
      <c r="BM30" s="199">
        <v>26.0</v>
      </c>
      <c r="BN30" s="226">
        <v>0.97</v>
      </c>
      <c r="BO30" s="209"/>
      <c r="BP30" s="210">
        <f t="shared" si="12"/>
        <v>0.997545215</v>
      </c>
      <c r="BQ30" s="205">
        <v>27633.0</v>
      </c>
      <c r="BR30" s="226">
        <v>1.0</v>
      </c>
      <c r="BS30" s="209"/>
      <c r="BT30" s="210">
        <f t="shared" si="13"/>
        <v>0.9997473015</v>
      </c>
      <c r="BU30" s="205">
        <v>27694.0</v>
      </c>
      <c r="BV30" s="226">
        <v>0.9</v>
      </c>
      <c r="BW30" s="204"/>
      <c r="BX30" s="202">
        <f t="shared" si="14"/>
        <v>0.9681599942</v>
      </c>
      <c r="BY30" s="205">
        <v>26819.0</v>
      </c>
      <c r="BZ30" s="226">
        <v>0.93</v>
      </c>
      <c r="CA30" s="204"/>
      <c r="CB30" s="202">
        <f t="shared" si="15"/>
        <v>0.9863181835</v>
      </c>
      <c r="CC30" s="205">
        <v>27322.0</v>
      </c>
      <c r="CD30" s="226">
        <v>1.0</v>
      </c>
      <c r="CE30" s="209"/>
      <c r="CF30" s="210">
        <f t="shared" si="16"/>
        <v>0.9997834013</v>
      </c>
      <c r="CG30" s="205">
        <v>27695.0</v>
      </c>
      <c r="CH30" s="226">
        <v>0.68</v>
      </c>
      <c r="CI30" s="204"/>
      <c r="CJ30" s="202">
        <f t="shared" si="17"/>
        <v>0.7130067507</v>
      </c>
      <c r="CK30" s="205">
        <v>19751.0</v>
      </c>
      <c r="CL30" s="202">
        <f t="shared" si="18"/>
        <v>0.8510162088</v>
      </c>
      <c r="CM30" s="205">
        <v>23574.0</v>
      </c>
      <c r="CN30" s="226">
        <v>0.72</v>
      </c>
      <c r="CO30" s="204"/>
      <c r="CP30" s="202">
        <f t="shared" si="19"/>
        <v>0.750333923</v>
      </c>
      <c r="CQ30" s="205">
        <v>20785.0</v>
      </c>
      <c r="CR30" s="226">
        <v>0.46</v>
      </c>
      <c r="CS30" s="204"/>
      <c r="CT30" s="202">
        <f t="shared" si="20"/>
        <v>0.9126385329</v>
      </c>
      <c r="CU30" s="205">
        <v>25281.0</v>
      </c>
      <c r="CV30" s="226">
        <v>0.46</v>
      </c>
      <c r="CW30" s="204"/>
      <c r="CX30" s="202">
        <f t="shared" si="21"/>
        <v>0.5930832822</v>
      </c>
      <c r="CY30" s="205">
        <v>16429.0</v>
      </c>
      <c r="CZ30" s="204">
        <v>0.6506966511855292</v>
      </c>
      <c r="DA30" s="204"/>
      <c r="DB30" s="202">
        <f t="shared" si="22"/>
        <v>0.6757517779</v>
      </c>
      <c r="DC30" s="205">
        <v>18719.0</v>
      </c>
    </row>
    <row r="31">
      <c r="A31" s="185" t="s">
        <v>76</v>
      </c>
      <c r="B31" s="183" t="s">
        <v>265</v>
      </c>
      <c r="C31" s="188"/>
      <c r="D31" s="189">
        <v>554.0</v>
      </c>
      <c r="E31" s="190"/>
      <c r="F31" s="190"/>
      <c r="G31" s="191">
        <f t="shared" si="1"/>
        <v>0.9115523466</v>
      </c>
      <c r="H31" s="189">
        <v>505.0</v>
      </c>
      <c r="I31" s="192"/>
      <c r="J31" s="188"/>
      <c r="K31" s="189"/>
      <c r="L31" s="189">
        <f t="shared" ref="L31:L34" si="29">D31-H31</f>
        <v>49</v>
      </c>
      <c r="M31" s="190"/>
      <c r="N31" s="190"/>
      <c r="O31" s="191">
        <f t="shared" si="3"/>
        <v>0.8285198556</v>
      </c>
      <c r="P31" s="189">
        <v>459.0</v>
      </c>
      <c r="Q31" s="188"/>
      <c r="R31" s="188"/>
      <c r="S31" s="189"/>
      <c r="T31" s="189"/>
      <c r="U31" s="190"/>
      <c r="V31" s="190"/>
      <c r="W31" s="191">
        <f t="shared" si="4"/>
        <v>0.1389891697</v>
      </c>
      <c r="X31" s="189">
        <v>77.0</v>
      </c>
      <c r="Y31" s="190"/>
      <c r="Z31" s="190"/>
      <c r="AA31" s="191">
        <f t="shared" si="5"/>
        <v>0.1931407942</v>
      </c>
      <c r="AB31" s="189">
        <v>107.0</v>
      </c>
      <c r="AC31" s="188"/>
      <c r="AD31" s="189">
        <f t="shared" ref="AD31:AD39" si="30">AH31+AJ31</f>
        <v>2628</v>
      </c>
      <c r="AE31" s="188"/>
      <c r="AF31" s="188"/>
      <c r="AG31" s="189"/>
      <c r="AH31" s="189">
        <v>2231.0</v>
      </c>
      <c r="AI31" s="188"/>
      <c r="AJ31" s="189">
        <v>397.0</v>
      </c>
      <c r="AK31" s="188"/>
      <c r="AL31" s="188"/>
      <c r="AM31" s="188"/>
      <c r="AN31" s="188"/>
      <c r="AO31" s="188"/>
      <c r="AP31" s="188"/>
      <c r="AQ31" s="189"/>
      <c r="AR31" s="189"/>
      <c r="AS31" s="189"/>
      <c r="AT31" s="189"/>
      <c r="AU31" s="189"/>
      <c r="AV31" s="189"/>
      <c r="AW31" s="188"/>
      <c r="AX31" s="188"/>
      <c r="AY31" s="191">
        <f t="shared" si="7"/>
        <v>0.4619482496</v>
      </c>
      <c r="AZ31" s="189">
        <v>1214.0</v>
      </c>
      <c r="BA31" s="192"/>
      <c r="BB31" s="192"/>
      <c r="BC31" s="193">
        <f t="shared" si="8"/>
        <v>0.09284627093</v>
      </c>
      <c r="BD31" s="189">
        <v>244.0</v>
      </c>
      <c r="BE31" s="191">
        <f t="shared" si="9"/>
        <v>0.9592846271</v>
      </c>
      <c r="BF31" s="189">
        <f t="shared" si="10"/>
        <v>2521</v>
      </c>
      <c r="BG31" s="188"/>
      <c r="BH31" s="189">
        <v>1038.0</v>
      </c>
      <c r="BI31" s="189">
        <v>1483.0</v>
      </c>
      <c r="BJ31" s="191">
        <f t="shared" si="11"/>
        <v>0.04870624049</v>
      </c>
      <c r="BK31" s="189">
        <v>128.0</v>
      </c>
      <c r="BL31" s="194"/>
      <c r="BM31" s="195">
        <v>18.63</v>
      </c>
      <c r="BN31" s="196"/>
      <c r="BO31" s="196"/>
      <c r="BP31" s="197">
        <f t="shared" si="12"/>
        <v>0.9458483755</v>
      </c>
      <c r="BQ31" s="189">
        <v>524.0</v>
      </c>
      <c r="BR31" s="196"/>
      <c r="BS31" s="196"/>
      <c r="BT31" s="197">
        <f t="shared" si="13"/>
        <v>0.8375451264</v>
      </c>
      <c r="BU31" s="189">
        <v>464.0</v>
      </c>
      <c r="BV31" s="190"/>
      <c r="BW31" s="190"/>
      <c r="BX31" s="191">
        <f t="shared" si="14"/>
        <v>0.357400722</v>
      </c>
      <c r="BY31" s="189">
        <v>198.0</v>
      </c>
      <c r="BZ31" s="190"/>
      <c r="CA31" s="190"/>
      <c r="CB31" s="191">
        <f t="shared" si="15"/>
        <v>0.4512635379</v>
      </c>
      <c r="CC31" s="189">
        <v>250.0</v>
      </c>
      <c r="CD31" s="196"/>
      <c r="CE31" s="196"/>
      <c r="CF31" s="197">
        <f t="shared" si="16"/>
        <v>0.8844765343</v>
      </c>
      <c r="CG31" s="189">
        <v>490.0</v>
      </c>
      <c r="CH31" s="190"/>
      <c r="CI31" s="190"/>
      <c r="CJ31" s="191">
        <f t="shared" si="17"/>
        <v>0.4909747292</v>
      </c>
      <c r="CK31" s="189">
        <v>272.0</v>
      </c>
      <c r="CL31" s="191">
        <f t="shared" si="18"/>
        <v>0.2418772563</v>
      </c>
      <c r="CM31" s="189">
        <v>134.0</v>
      </c>
      <c r="CN31" s="190"/>
      <c r="CO31" s="190"/>
      <c r="CP31" s="191">
        <f t="shared" si="19"/>
        <v>0.725631769</v>
      </c>
      <c r="CQ31" s="189">
        <v>402.0</v>
      </c>
      <c r="CR31" s="190"/>
      <c r="CS31" s="190"/>
      <c r="CT31" s="191">
        <f t="shared" si="20"/>
        <v>0.05415162455</v>
      </c>
      <c r="CU31" s="189">
        <v>30.0</v>
      </c>
      <c r="CV31" s="190"/>
      <c r="CW31" s="190"/>
      <c r="CX31" s="191">
        <f t="shared" si="21"/>
        <v>0.1570397112</v>
      </c>
      <c r="CY31" s="189">
        <v>87.0</v>
      </c>
      <c r="CZ31" s="190"/>
      <c r="DA31" s="190"/>
      <c r="DB31" s="191">
        <f t="shared" si="22"/>
        <v>0.725631769</v>
      </c>
      <c r="DC31" s="189">
        <v>402.0</v>
      </c>
    </row>
    <row r="32">
      <c r="A32" s="185"/>
      <c r="B32" s="183" t="s">
        <v>266</v>
      </c>
      <c r="C32" s="188"/>
      <c r="D32" s="189">
        <v>1735.0</v>
      </c>
      <c r="E32" s="190"/>
      <c r="F32" s="190"/>
      <c r="G32" s="191">
        <f t="shared" si="1"/>
        <v>0.8864553314</v>
      </c>
      <c r="H32" s="189">
        <v>1538.0</v>
      </c>
      <c r="I32" s="192"/>
      <c r="J32" s="188"/>
      <c r="K32" s="189"/>
      <c r="L32" s="189">
        <f t="shared" si="29"/>
        <v>197</v>
      </c>
      <c r="M32" s="190"/>
      <c r="N32" s="190"/>
      <c r="O32" s="191">
        <f t="shared" si="3"/>
        <v>0.6443804035</v>
      </c>
      <c r="P32" s="189">
        <v>1118.0</v>
      </c>
      <c r="Q32" s="188"/>
      <c r="R32" s="188"/>
      <c r="S32" s="189"/>
      <c r="T32" s="189"/>
      <c r="U32" s="190"/>
      <c r="V32" s="190"/>
      <c r="W32" s="191">
        <f t="shared" si="4"/>
        <v>0.1371757925</v>
      </c>
      <c r="X32" s="189">
        <v>238.0</v>
      </c>
      <c r="Y32" s="190"/>
      <c r="Z32" s="190"/>
      <c r="AA32" s="191">
        <f t="shared" si="5"/>
        <v>0.1711815562</v>
      </c>
      <c r="AB32" s="189">
        <v>297.0</v>
      </c>
      <c r="AC32" s="188"/>
      <c r="AD32" s="189">
        <f t="shared" si="30"/>
        <v>9289</v>
      </c>
      <c r="AE32" s="188"/>
      <c r="AF32" s="188"/>
      <c r="AG32" s="189"/>
      <c r="AH32" s="189">
        <v>7332.0</v>
      </c>
      <c r="AI32" s="188"/>
      <c r="AJ32" s="189">
        <v>1957.0</v>
      </c>
      <c r="AK32" s="188"/>
      <c r="AL32" s="188"/>
      <c r="AM32" s="188"/>
      <c r="AN32" s="188"/>
      <c r="AO32" s="188"/>
      <c r="AP32" s="188"/>
      <c r="AQ32" s="189"/>
      <c r="AR32" s="189"/>
      <c r="AS32" s="189"/>
      <c r="AT32" s="189"/>
      <c r="AU32" s="189"/>
      <c r="AV32" s="189"/>
      <c r="AW32" s="188"/>
      <c r="AX32" s="188"/>
      <c r="AY32" s="191">
        <f t="shared" si="7"/>
        <v>0.5321347831</v>
      </c>
      <c r="AZ32" s="189">
        <v>4943.0</v>
      </c>
      <c r="BA32" s="192"/>
      <c r="BB32" s="192"/>
      <c r="BC32" s="193">
        <f t="shared" si="8"/>
        <v>0.0903218861</v>
      </c>
      <c r="BD32" s="189">
        <v>839.0</v>
      </c>
      <c r="BE32" s="191">
        <f t="shared" si="9"/>
        <v>0.9396059856</v>
      </c>
      <c r="BF32" s="189">
        <f t="shared" si="10"/>
        <v>8728</v>
      </c>
      <c r="BG32" s="188"/>
      <c r="BH32" s="189">
        <v>4184.0</v>
      </c>
      <c r="BI32" s="189">
        <v>4544.0</v>
      </c>
      <c r="BJ32" s="191">
        <f t="shared" si="11"/>
        <v>0.08095596943</v>
      </c>
      <c r="BK32" s="189">
        <v>752.0</v>
      </c>
      <c r="BL32" s="194"/>
      <c r="BM32" s="195">
        <v>19.16</v>
      </c>
      <c r="BN32" s="196"/>
      <c r="BO32" s="196"/>
      <c r="BP32" s="197">
        <f t="shared" si="12"/>
        <v>0.8968299712</v>
      </c>
      <c r="BQ32" s="189">
        <v>1556.0</v>
      </c>
      <c r="BR32" s="196"/>
      <c r="BS32" s="196"/>
      <c r="BT32" s="197">
        <f t="shared" si="13"/>
        <v>0.9112391931</v>
      </c>
      <c r="BU32" s="189">
        <v>1581.0</v>
      </c>
      <c r="BV32" s="190"/>
      <c r="BW32" s="190"/>
      <c r="BX32" s="191">
        <f t="shared" si="14"/>
        <v>0.3596541787</v>
      </c>
      <c r="BY32" s="189">
        <v>624.0</v>
      </c>
      <c r="BZ32" s="190"/>
      <c r="CA32" s="190"/>
      <c r="CB32" s="191">
        <f t="shared" si="15"/>
        <v>0.4374639769</v>
      </c>
      <c r="CC32" s="189">
        <v>759.0</v>
      </c>
      <c r="CD32" s="196"/>
      <c r="CE32" s="196"/>
      <c r="CF32" s="197">
        <f t="shared" si="16"/>
        <v>0.869740634</v>
      </c>
      <c r="CG32" s="189">
        <v>1509.0</v>
      </c>
      <c r="CH32" s="190"/>
      <c r="CI32" s="190"/>
      <c r="CJ32" s="191">
        <f t="shared" si="17"/>
        <v>0.5965417867</v>
      </c>
      <c r="CK32" s="189">
        <v>1035.0</v>
      </c>
      <c r="CL32" s="191">
        <f t="shared" si="18"/>
        <v>0.2461095101</v>
      </c>
      <c r="CM32" s="189">
        <v>427.0</v>
      </c>
      <c r="CN32" s="190"/>
      <c r="CO32" s="190"/>
      <c r="CP32" s="191">
        <f t="shared" si="19"/>
        <v>0.8386167147</v>
      </c>
      <c r="CQ32" s="189">
        <v>1455.0</v>
      </c>
      <c r="CR32" s="190"/>
      <c r="CS32" s="190"/>
      <c r="CT32" s="191">
        <f t="shared" si="20"/>
        <v>0.07550432277</v>
      </c>
      <c r="CU32" s="189">
        <v>131.0</v>
      </c>
      <c r="CV32" s="190"/>
      <c r="CW32" s="190"/>
      <c r="CX32" s="191">
        <f t="shared" si="21"/>
        <v>0.130259366</v>
      </c>
      <c r="CY32" s="189">
        <v>226.0</v>
      </c>
      <c r="CZ32" s="190"/>
      <c r="DA32" s="190"/>
      <c r="DB32" s="191">
        <f t="shared" si="22"/>
        <v>0.7043227666</v>
      </c>
      <c r="DC32" s="189">
        <v>1222.0</v>
      </c>
    </row>
    <row r="33">
      <c r="A33" s="185"/>
      <c r="B33" s="183" t="s">
        <v>267</v>
      </c>
      <c r="C33" s="188"/>
      <c r="D33" s="189">
        <v>1710.0</v>
      </c>
      <c r="E33" s="190"/>
      <c r="F33" s="190"/>
      <c r="G33" s="191">
        <f t="shared" si="1"/>
        <v>0.7900584795</v>
      </c>
      <c r="H33" s="189">
        <v>1351.0</v>
      </c>
      <c r="I33" s="192"/>
      <c r="J33" s="188"/>
      <c r="K33" s="189"/>
      <c r="L33" s="189">
        <f t="shared" si="29"/>
        <v>359</v>
      </c>
      <c r="M33" s="190"/>
      <c r="N33" s="190"/>
      <c r="O33" s="191">
        <f t="shared" si="3"/>
        <v>0.7450292398</v>
      </c>
      <c r="P33" s="189">
        <v>1274.0</v>
      </c>
      <c r="Q33" s="188"/>
      <c r="R33" s="188"/>
      <c r="S33" s="189"/>
      <c r="T33" s="189"/>
      <c r="U33" s="190"/>
      <c r="V33" s="190"/>
      <c r="W33" s="191">
        <f t="shared" si="4"/>
        <v>0.2087719298</v>
      </c>
      <c r="X33" s="189">
        <v>357.0</v>
      </c>
      <c r="Y33" s="190"/>
      <c r="Z33" s="190"/>
      <c r="AA33" s="191">
        <f t="shared" si="5"/>
        <v>0.1479532164</v>
      </c>
      <c r="AB33" s="189">
        <v>253.0</v>
      </c>
      <c r="AC33" s="188"/>
      <c r="AD33" s="189">
        <f t="shared" si="30"/>
        <v>11285</v>
      </c>
      <c r="AE33" s="188"/>
      <c r="AF33" s="188"/>
      <c r="AG33" s="189"/>
      <c r="AH33" s="189">
        <v>6846.0</v>
      </c>
      <c r="AI33" s="188"/>
      <c r="AJ33" s="189">
        <v>4439.0</v>
      </c>
      <c r="AK33" s="188"/>
      <c r="AL33" s="188"/>
      <c r="AM33" s="188"/>
      <c r="AN33" s="188"/>
      <c r="AO33" s="188"/>
      <c r="AP33" s="188"/>
      <c r="AQ33" s="189"/>
      <c r="AR33" s="189"/>
      <c r="AS33" s="189"/>
      <c r="AT33" s="189"/>
      <c r="AU33" s="189"/>
      <c r="AV33" s="189"/>
      <c r="AW33" s="188"/>
      <c r="AX33" s="188"/>
      <c r="AY33" s="191">
        <f t="shared" si="7"/>
        <v>0.5012848914</v>
      </c>
      <c r="AZ33" s="189">
        <v>5657.0</v>
      </c>
      <c r="BA33" s="192"/>
      <c r="BB33" s="192"/>
      <c r="BC33" s="193">
        <f t="shared" si="8"/>
        <v>0.06521931768</v>
      </c>
      <c r="BD33" s="189">
        <v>736.0</v>
      </c>
      <c r="BE33" s="191">
        <f t="shared" si="9"/>
        <v>0.9724412938</v>
      </c>
      <c r="BF33" s="189">
        <f t="shared" si="10"/>
        <v>10974</v>
      </c>
      <c r="BG33" s="188"/>
      <c r="BH33" s="189">
        <v>4772.0</v>
      </c>
      <c r="BI33" s="189">
        <v>6202.0</v>
      </c>
      <c r="BJ33" s="191">
        <f t="shared" si="11"/>
        <v>0.09144882588</v>
      </c>
      <c r="BK33" s="189">
        <v>1032.0</v>
      </c>
      <c r="BL33" s="194"/>
      <c r="BM33" s="195">
        <v>21.34</v>
      </c>
      <c r="BN33" s="196"/>
      <c r="BO33" s="196"/>
      <c r="BP33" s="197">
        <f t="shared" si="12"/>
        <v>0.9614035088</v>
      </c>
      <c r="BQ33" s="189">
        <v>1644.0</v>
      </c>
      <c r="BR33" s="196"/>
      <c r="BS33" s="196"/>
      <c r="BT33" s="197">
        <f t="shared" si="13"/>
        <v>0.918128655</v>
      </c>
      <c r="BU33" s="189">
        <v>1570.0</v>
      </c>
      <c r="BV33" s="190"/>
      <c r="BW33" s="190"/>
      <c r="BX33" s="191">
        <f t="shared" si="14"/>
        <v>0.450877193</v>
      </c>
      <c r="BY33" s="189">
        <v>771.0</v>
      </c>
      <c r="BZ33" s="190"/>
      <c r="CA33" s="190"/>
      <c r="CB33" s="191">
        <f t="shared" si="15"/>
        <v>0.5058479532</v>
      </c>
      <c r="CC33" s="189">
        <v>865.0</v>
      </c>
      <c r="CD33" s="196"/>
      <c r="CE33" s="196"/>
      <c r="CF33" s="197">
        <f t="shared" si="16"/>
        <v>0.9573099415</v>
      </c>
      <c r="CG33" s="189">
        <v>1637.0</v>
      </c>
      <c r="CH33" s="190"/>
      <c r="CI33" s="190"/>
      <c r="CJ33" s="191">
        <f t="shared" si="17"/>
        <v>0.5479532164</v>
      </c>
      <c r="CK33" s="189">
        <v>937.0</v>
      </c>
      <c r="CL33" s="191">
        <f t="shared" si="18"/>
        <v>0.2994152047</v>
      </c>
      <c r="CM33" s="189">
        <v>512.0</v>
      </c>
      <c r="CN33" s="190"/>
      <c r="CO33" s="190"/>
      <c r="CP33" s="191">
        <f t="shared" si="19"/>
        <v>0.9239766082</v>
      </c>
      <c r="CQ33" s="189">
        <v>1580.0</v>
      </c>
      <c r="CR33" s="190"/>
      <c r="CS33" s="190"/>
      <c r="CT33" s="191">
        <f t="shared" si="20"/>
        <v>0.1116959064</v>
      </c>
      <c r="CU33" s="189">
        <v>191.0</v>
      </c>
      <c r="CV33" s="190"/>
      <c r="CW33" s="190"/>
      <c r="CX33" s="191">
        <f t="shared" si="21"/>
        <v>0.1432748538</v>
      </c>
      <c r="CY33" s="189">
        <v>245.0</v>
      </c>
      <c r="CZ33" s="190"/>
      <c r="DA33" s="190"/>
      <c r="DB33" s="191">
        <f t="shared" si="22"/>
        <v>0.7321637427</v>
      </c>
      <c r="DC33" s="189">
        <v>1252.0</v>
      </c>
    </row>
    <row r="34">
      <c r="A34" s="185"/>
      <c r="B34" s="183" t="s">
        <v>268</v>
      </c>
      <c r="C34" s="188"/>
      <c r="D34" s="189">
        <v>3180.0</v>
      </c>
      <c r="E34" s="190"/>
      <c r="F34" s="190"/>
      <c r="G34" s="191">
        <f t="shared" si="1"/>
        <v>0</v>
      </c>
      <c r="H34" s="189">
        <v>0.0</v>
      </c>
      <c r="I34" s="188"/>
      <c r="J34" s="188"/>
      <c r="K34" s="189"/>
      <c r="L34" s="189">
        <f t="shared" si="29"/>
        <v>3180</v>
      </c>
      <c r="M34" s="190"/>
      <c r="N34" s="190"/>
      <c r="O34" s="191">
        <f t="shared" si="3"/>
        <v>0.243081761</v>
      </c>
      <c r="P34" s="189">
        <v>773.0</v>
      </c>
      <c r="Q34" s="188"/>
      <c r="R34" s="188"/>
      <c r="S34" s="189"/>
      <c r="T34" s="189"/>
      <c r="U34" s="190"/>
      <c r="V34" s="190"/>
      <c r="W34" s="191">
        <f t="shared" si="4"/>
        <v>0.6682389937</v>
      </c>
      <c r="X34" s="189">
        <v>2125.0</v>
      </c>
      <c r="Y34" s="190"/>
      <c r="Z34" s="190"/>
      <c r="AA34" s="191">
        <f t="shared" si="5"/>
        <v>0.04905660377</v>
      </c>
      <c r="AB34" s="189">
        <v>156.0</v>
      </c>
      <c r="AC34" s="188"/>
      <c r="AD34" s="189">
        <f t="shared" si="30"/>
        <v>41742</v>
      </c>
      <c r="AE34" s="188"/>
      <c r="AF34" s="188"/>
      <c r="AG34" s="189"/>
      <c r="AH34" s="189">
        <v>0.0</v>
      </c>
      <c r="AI34" s="188"/>
      <c r="AJ34" s="189">
        <v>41742.0</v>
      </c>
      <c r="AK34" s="188"/>
      <c r="AL34" s="188"/>
      <c r="AM34" s="188"/>
      <c r="AN34" s="188"/>
      <c r="AO34" s="188"/>
      <c r="AP34" s="188"/>
      <c r="AQ34" s="189"/>
      <c r="AR34" s="189"/>
      <c r="AS34" s="189"/>
      <c r="AT34" s="189"/>
      <c r="AU34" s="189"/>
      <c r="AV34" s="189"/>
      <c r="AW34" s="188"/>
      <c r="AX34" s="188"/>
      <c r="AY34" s="191">
        <f t="shared" si="7"/>
        <v>0.8155574721</v>
      </c>
      <c r="AZ34" s="189">
        <v>34043.0</v>
      </c>
      <c r="BA34" s="192"/>
      <c r="BB34" s="192"/>
      <c r="BC34" s="193">
        <f t="shared" si="8"/>
        <v>0.0362225097</v>
      </c>
      <c r="BD34" s="189">
        <v>1512.0</v>
      </c>
      <c r="BE34" s="191">
        <f t="shared" si="9"/>
        <v>0.8865650903</v>
      </c>
      <c r="BF34" s="189">
        <f t="shared" si="10"/>
        <v>37007</v>
      </c>
      <c r="BG34" s="188"/>
      <c r="BH34" s="189">
        <v>21478.0</v>
      </c>
      <c r="BI34" s="189">
        <v>15529.0</v>
      </c>
      <c r="BJ34" s="191">
        <f t="shared" si="11"/>
        <v>0.2047338412</v>
      </c>
      <c r="BK34" s="189">
        <v>8546.0</v>
      </c>
      <c r="BL34" s="194"/>
      <c r="BM34" s="195">
        <v>24.7</v>
      </c>
      <c r="BN34" s="196"/>
      <c r="BO34" s="196"/>
      <c r="BP34" s="197">
        <f t="shared" si="12"/>
        <v>0.9487421384</v>
      </c>
      <c r="BQ34" s="189">
        <v>3017.0</v>
      </c>
      <c r="BR34" s="196"/>
      <c r="BS34" s="196"/>
      <c r="BT34" s="197">
        <f t="shared" si="13"/>
        <v>0.9729559748</v>
      </c>
      <c r="BU34" s="189">
        <v>3094.0</v>
      </c>
      <c r="BV34" s="190"/>
      <c r="BW34" s="190"/>
      <c r="BX34" s="191">
        <f t="shared" si="14"/>
        <v>0.1443396226</v>
      </c>
      <c r="BY34" s="189">
        <v>459.0</v>
      </c>
      <c r="BZ34" s="190"/>
      <c r="CA34" s="190"/>
      <c r="CB34" s="191">
        <f t="shared" si="15"/>
        <v>0.1352201258</v>
      </c>
      <c r="CC34" s="189">
        <v>430.0</v>
      </c>
      <c r="CD34" s="196"/>
      <c r="CE34" s="196"/>
      <c r="CF34" s="197">
        <f t="shared" si="16"/>
        <v>0.9789308176</v>
      </c>
      <c r="CG34" s="189">
        <v>3113.0</v>
      </c>
      <c r="CH34" s="190"/>
      <c r="CI34" s="190"/>
      <c r="CJ34" s="191">
        <f t="shared" si="17"/>
        <v>0.9619496855</v>
      </c>
      <c r="CK34" s="189">
        <v>3059.0</v>
      </c>
      <c r="CL34" s="191">
        <f t="shared" si="18"/>
        <v>0.3402515723</v>
      </c>
      <c r="CM34" s="189">
        <v>1082.0</v>
      </c>
      <c r="CN34" s="190"/>
      <c r="CO34" s="190"/>
      <c r="CP34" s="191">
        <f t="shared" si="19"/>
        <v>0.8679245283</v>
      </c>
      <c r="CQ34" s="189">
        <v>2760.0</v>
      </c>
      <c r="CR34" s="190"/>
      <c r="CS34" s="190"/>
      <c r="CT34" s="191">
        <f t="shared" si="20"/>
        <v>0.3308176101</v>
      </c>
      <c r="CU34" s="189">
        <v>1052.0</v>
      </c>
      <c r="CV34" s="190"/>
      <c r="CW34" s="190"/>
      <c r="CX34" s="191">
        <f t="shared" si="21"/>
        <v>0.6594339623</v>
      </c>
      <c r="CY34" s="189">
        <v>2097.0</v>
      </c>
      <c r="CZ34" s="190"/>
      <c r="DA34" s="190"/>
      <c r="DB34" s="191">
        <f t="shared" si="22"/>
        <v>0.2330188679</v>
      </c>
      <c r="DC34" s="189">
        <v>741.0</v>
      </c>
    </row>
    <row r="35">
      <c r="A35" s="177"/>
      <c r="B35" s="178" t="s">
        <v>246</v>
      </c>
      <c r="C35" s="203">
        <v>42355.0</v>
      </c>
      <c r="D35" s="199">
        <v>43083.0</v>
      </c>
      <c r="E35" s="204"/>
      <c r="F35" s="204"/>
      <c r="G35" s="202">
        <f t="shared" si="1"/>
        <v>0.6626047397</v>
      </c>
      <c r="H35" s="199">
        <v>28547.0</v>
      </c>
      <c r="I35" s="203"/>
      <c r="J35" s="203"/>
      <c r="K35" s="199"/>
      <c r="L35" s="199">
        <v>14536.0</v>
      </c>
      <c r="M35" s="204"/>
      <c r="N35" s="204"/>
      <c r="O35" s="202">
        <f t="shared" si="3"/>
        <v>0.6434556554</v>
      </c>
      <c r="P35" s="205">
        <v>27722.0</v>
      </c>
      <c r="Q35" s="206"/>
      <c r="R35" s="206"/>
      <c r="S35" s="205"/>
      <c r="T35" s="205"/>
      <c r="U35" s="204"/>
      <c r="V35" s="204"/>
      <c r="W35" s="202">
        <f t="shared" si="4"/>
        <v>0.2830118608</v>
      </c>
      <c r="X35" s="205">
        <v>12193.0</v>
      </c>
      <c r="Y35" s="204"/>
      <c r="Z35" s="204"/>
      <c r="AA35" s="202">
        <f t="shared" si="5"/>
        <v>0.1483647843</v>
      </c>
      <c r="AB35" s="205">
        <v>6392.0</v>
      </c>
      <c r="AC35" s="206"/>
      <c r="AD35" s="205">
        <f t="shared" si="30"/>
        <v>320894</v>
      </c>
      <c r="AE35" s="206"/>
      <c r="AF35" s="206"/>
      <c r="AG35" s="205"/>
      <c r="AH35" s="205">
        <v>140628.0</v>
      </c>
      <c r="AI35" s="206"/>
      <c r="AJ35" s="205">
        <v>180266.0</v>
      </c>
      <c r="AK35" s="206"/>
      <c r="AL35" s="206"/>
      <c r="AM35" s="206"/>
      <c r="AN35" s="206"/>
      <c r="AO35" s="206"/>
      <c r="AP35" s="206"/>
      <c r="AQ35" s="205"/>
      <c r="AR35" s="205"/>
      <c r="AS35" s="205"/>
      <c r="AT35" s="205"/>
      <c r="AU35" s="205"/>
      <c r="AV35" s="205"/>
      <c r="AW35" s="206"/>
      <c r="AX35" s="206"/>
      <c r="AY35" s="202">
        <f t="shared" si="7"/>
        <v>0.6058542696</v>
      </c>
      <c r="AZ35" s="199">
        <v>194415.0</v>
      </c>
      <c r="BA35" s="207"/>
      <c r="BB35" s="207"/>
      <c r="BC35" s="208">
        <f t="shared" si="8"/>
        <v>0.06182415377</v>
      </c>
      <c r="BD35" s="199">
        <v>19839.0</v>
      </c>
      <c r="BE35" s="202">
        <f t="shared" si="9"/>
        <v>0.9245638747</v>
      </c>
      <c r="BF35" s="199">
        <f t="shared" si="10"/>
        <v>296687</v>
      </c>
      <c r="BG35" s="203"/>
      <c r="BH35" s="199">
        <v>144848.0</v>
      </c>
      <c r="BI35" s="199">
        <v>151839.0</v>
      </c>
      <c r="BJ35" s="202">
        <f t="shared" si="11"/>
        <v>0.1020243445</v>
      </c>
      <c r="BK35" s="199">
        <v>32739.0</v>
      </c>
      <c r="BL35" s="203"/>
      <c r="BM35" s="199">
        <v>22.0</v>
      </c>
      <c r="BN35" s="209"/>
      <c r="BO35" s="209"/>
      <c r="BP35" s="210">
        <f t="shared" si="12"/>
        <v>0.9273495346</v>
      </c>
      <c r="BQ35" s="205">
        <v>39953.0</v>
      </c>
      <c r="BR35" s="209"/>
      <c r="BS35" s="209"/>
      <c r="BT35" s="210">
        <f t="shared" si="13"/>
        <v>0.8639370517</v>
      </c>
      <c r="BU35" s="205">
        <v>37221.0</v>
      </c>
      <c r="BV35" s="204"/>
      <c r="BW35" s="204"/>
      <c r="BX35" s="202">
        <f t="shared" si="14"/>
        <v>0.6762992364</v>
      </c>
      <c r="BY35" s="205">
        <v>29137.0</v>
      </c>
      <c r="BZ35" s="204"/>
      <c r="CA35" s="204"/>
      <c r="CB35" s="202">
        <f t="shared" si="15"/>
        <v>0.7758976859</v>
      </c>
      <c r="CC35" s="205">
        <v>33428.0</v>
      </c>
      <c r="CD35" s="209"/>
      <c r="CE35" s="209"/>
      <c r="CF35" s="210">
        <f t="shared" si="16"/>
        <v>0.9033725599</v>
      </c>
      <c r="CG35" s="205">
        <v>38920.0</v>
      </c>
      <c r="CH35" s="204"/>
      <c r="CI35" s="204"/>
      <c r="CJ35" s="202">
        <f t="shared" si="17"/>
        <v>0.626233085</v>
      </c>
      <c r="CK35" s="205">
        <v>26980.0</v>
      </c>
      <c r="CL35" s="202">
        <f t="shared" si="18"/>
        <v>0.3194067266</v>
      </c>
      <c r="CM35" s="205">
        <v>13761.0</v>
      </c>
      <c r="CN35" s="204"/>
      <c r="CO35" s="204"/>
      <c r="CP35" s="202">
        <f t="shared" si="19"/>
        <v>0.8291205348</v>
      </c>
      <c r="CQ35" s="205">
        <v>35721.0</v>
      </c>
      <c r="CR35" s="204"/>
      <c r="CS35" s="204"/>
      <c r="CT35" s="202">
        <f t="shared" si="20"/>
        <v>0.2262609382</v>
      </c>
      <c r="CU35" s="205">
        <v>9748.0</v>
      </c>
      <c r="CV35" s="204"/>
      <c r="CW35" s="204"/>
      <c r="CX35" s="202">
        <f t="shared" si="21"/>
        <v>0.2294872688</v>
      </c>
      <c r="CY35" s="205">
        <v>9887.0</v>
      </c>
      <c r="CZ35" s="204"/>
      <c r="DA35" s="204"/>
      <c r="DB35" s="202">
        <f t="shared" si="22"/>
        <v>0.6195715247</v>
      </c>
      <c r="DC35" s="205">
        <v>26693.0</v>
      </c>
    </row>
    <row r="36">
      <c r="A36" s="185" t="s">
        <v>64</v>
      </c>
      <c r="B36" s="183" t="s">
        <v>269</v>
      </c>
      <c r="C36" s="188"/>
      <c r="D36" s="189">
        <v>277.0</v>
      </c>
      <c r="E36" s="190"/>
      <c r="F36" s="190"/>
      <c r="G36" s="191">
        <f t="shared" si="1"/>
        <v>0.5270758123</v>
      </c>
      <c r="H36" s="189">
        <v>146.0</v>
      </c>
      <c r="I36" s="188"/>
      <c r="J36" s="188"/>
      <c r="K36" s="189"/>
      <c r="L36" s="189">
        <f t="shared" ref="L36:L38" si="31">D36-H36</f>
        <v>131</v>
      </c>
      <c r="M36" s="190"/>
      <c r="N36" s="190"/>
      <c r="O36" s="191">
        <f t="shared" si="3"/>
        <v>0.6750902527</v>
      </c>
      <c r="P36" s="189">
        <v>187.0</v>
      </c>
      <c r="Q36" s="188"/>
      <c r="R36" s="188"/>
      <c r="S36" s="189"/>
      <c r="T36" s="189"/>
      <c r="U36" s="190"/>
      <c r="V36" s="190"/>
      <c r="W36" s="191">
        <f t="shared" si="4"/>
        <v>0.2599277978</v>
      </c>
      <c r="X36" s="189">
        <v>72.0</v>
      </c>
      <c r="Y36" s="190"/>
      <c r="Z36" s="190"/>
      <c r="AA36" s="191">
        <f t="shared" si="5"/>
        <v>0.007220216606</v>
      </c>
      <c r="AB36" s="189">
        <v>2.0</v>
      </c>
      <c r="AC36" s="188"/>
      <c r="AD36" s="189">
        <f t="shared" si="30"/>
        <v>1614</v>
      </c>
      <c r="AE36" s="188"/>
      <c r="AF36" s="188"/>
      <c r="AG36" s="189"/>
      <c r="AH36" s="189">
        <v>773.0</v>
      </c>
      <c r="AI36" s="188"/>
      <c r="AJ36" s="189">
        <v>841.0</v>
      </c>
      <c r="AK36" s="188"/>
      <c r="AL36" s="188"/>
      <c r="AM36" s="188"/>
      <c r="AN36" s="188"/>
      <c r="AO36" s="188"/>
      <c r="AP36" s="188"/>
      <c r="AQ36" s="189"/>
      <c r="AR36" s="189"/>
      <c r="AS36" s="189"/>
      <c r="AT36" s="189"/>
      <c r="AU36" s="189"/>
      <c r="AV36" s="189"/>
      <c r="AW36" s="188"/>
      <c r="AX36" s="188"/>
      <c r="AY36" s="191">
        <f t="shared" si="7"/>
        <v>0.5123915737</v>
      </c>
      <c r="AZ36" s="189">
        <v>827.0</v>
      </c>
      <c r="BA36" s="192"/>
      <c r="BB36" s="192"/>
      <c r="BC36" s="193">
        <f t="shared" si="8"/>
        <v>0.6728624535</v>
      </c>
      <c r="BD36" s="189">
        <v>1086.0</v>
      </c>
      <c r="BE36" s="191">
        <f t="shared" si="9"/>
        <v>0.7484510533</v>
      </c>
      <c r="BF36" s="189">
        <f t="shared" si="10"/>
        <v>1208</v>
      </c>
      <c r="BG36" s="188"/>
      <c r="BH36" s="189">
        <v>879.0</v>
      </c>
      <c r="BI36" s="189">
        <v>329.0</v>
      </c>
      <c r="BJ36" s="191">
        <f t="shared" si="11"/>
        <v>0.14622057</v>
      </c>
      <c r="BK36" s="189">
        <v>236.0</v>
      </c>
      <c r="BL36" s="194"/>
      <c r="BM36" s="195">
        <v>15.73</v>
      </c>
      <c r="BN36" s="196"/>
      <c r="BO36" s="196"/>
      <c r="BP36" s="197">
        <f t="shared" si="12"/>
        <v>0.8844765343</v>
      </c>
      <c r="BQ36" s="189">
        <v>245.0</v>
      </c>
      <c r="BR36" s="196"/>
      <c r="BS36" s="196"/>
      <c r="BT36" s="197">
        <f t="shared" si="13"/>
        <v>0.9819494585</v>
      </c>
      <c r="BU36" s="189">
        <v>272.0</v>
      </c>
      <c r="BV36" s="190"/>
      <c r="BW36" s="190"/>
      <c r="BX36" s="191">
        <f t="shared" si="14"/>
        <v>0.523465704</v>
      </c>
      <c r="BY36" s="189">
        <v>145.0</v>
      </c>
      <c r="BZ36" s="190"/>
      <c r="CA36" s="190"/>
      <c r="CB36" s="191">
        <f t="shared" si="15"/>
        <v>0.5198555957</v>
      </c>
      <c r="CC36" s="189">
        <v>144.0</v>
      </c>
      <c r="CD36" s="196"/>
      <c r="CE36" s="196"/>
      <c r="CF36" s="197">
        <f t="shared" si="16"/>
        <v>0.8519855596</v>
      </c>
      <c r="CG36" s="189">
        <v>236.0</v>
      </c>
      <c r="CH36" s="190"/>
      <c r="CI36" s="190"/>
      <c r="CJ36" s="191">
        <f t="shared" si="17"/>
        <v>0.3862815884</v>
      </c>
      <c r="CK36" s="189">
        <v>107.0</v>
      </c>
      <c r="CL36" s="191">
        <f t="shared" si="18"/>
        <v>0.2238267148</v>
      </c>
      <c r="CM36" s="189">
        <v>62.0</v>
      </c>
      <c r="CN36" s="190"/>
      <c r="CO36" s="190"/>
      <c r="CP36" s="191">
        <f t="shared" si="19"/>
        <v>0.725631769</v>
      </c>
      <c r="CQ36" s="189">
        <v>201.0</v>
      </c>
      <c r="CR36" s="190"/>
      <c r="CS36" s="190"/>
      <c r="CT36" s="191">
        <f t="shared" si="20"/>
        <v>0.285198556</v>
      </c>
      <c r="CU36" s="189">
        <v>79.0</v>
      </c>
      <c r="CV36" s="190"/>
      <c r="CW36" s="190"/>
      <c r="CX36" s="191">
        <f t="shared" si="21"/>
        <v>0.02888086643</v>
      </c>
      <c r="CY36" s="189">
        <v>8.0</v>
      </c>
      <c r="CZ36" s="190"/>
      <c r="DA36" s="190"/>
      <c r="DB36" s="191">
        <f t="shared" si="22"/>
        <v>0.6967509025</v>
      </c>
      <c r="DC36" s="189">
        <v>193.0</v>
      </c>
    </row>
    <row r="37">
      <c r="A37" s="185"/>
      <c r="B37" s="183" t="s">
        <v>270</v>
      </c>
      <c r="C37" s="188"/>
      <c r="D37" s="189">
        <v>381.0</v>
      </c>
      <c r="E37" s="190"/>
      <c r="F37" s="190"/>
      <c r="G37" s="191">
        <f t="shared" si="1"/>
        <v>0.8871391076</v>
      </c>
      <c r="H37" s="189">
        <v>338.0</v>
      </c>
      <c r="I37" s="188"/>
      <c r="J37" s="188"/>
      <c r="K37" s="189"/>
      <c r="L37" s="189">
        <f t="shared" si="31"/>
        <v>43</v>
      </c>
      <c r="M37" s="190"/>
      <c r="N37" s="190"/>
      <c r="O37" s="191">
        <f t="shared" si="3"/>
        <v>0.7349081365</v>
      </c>
      <c r="P37" s="189">
        <v>280.0</v>
      </c>
      <c r="Q37" s="188"/>
      <c r="R37" s="188"/>
      <c r="S37" s="189"/>
      <c r="T37" s="189"/>
      <c r="U37" s="190"/>
      <c r="V37" s="190"/>
      <c r="W37" s="191">
        <f t="shared" si="4"/>
        <v>0.188976378</v>
      </c>
      <c r="X37" s="189">
        <v>72.0</v>
      </c>
      <c r="Y37" s="190"/>
      <c r="Z37" s="190"/>
      <c r="AA37" s="191">
        <f t="shared" si="5"/>
        <v>0.03412073491</v>
      </c>
      <c r="AB37" s="189">
        <v>13.0</v>
      </c>
      <c r="AC37" s="188"/>
      <c r="AD37" s="189">
        <f t="shared" si="30"/>
        <v>1781</v>
      </c>
      <c r="AE37" s="188"/>
      <c r="AF37" s="188"/>
      <c r="AG37" s="189"/>
      <c r="AH37" s="189">
        <v>1517.0</v>
      </c>
      <c r="AI37" s="188"/>
      <c r="AJ37" s="189">
        <v>264.0</v>
      </c>
      <c r="AK37" s="188"/>
      <c r="AL37" s="188"/>
      <c r="AM37" s="188"/>
      <c r="AN37" s="188"/>
      <c r="AO37" s="188"/>
      <c r="AP37" s="188"/>
      <c r="AQ37" s="189"/>
      <c r="AR37" s="189"/>
      <c r="AS37" s="189"/>
      <c r="AT37" s="189"/>
      <c r="AU37" s="189"/>
      <c r="AV37" s="189"/>
      <c r="AW37" s="188"/>
      <c r="AX37" s="188"/>
      <c r="AY37" s="191">
        <f t="shared" si="7"/>
        <v>0.4441325098</v>
      </c>
      <c r="AZ37" s="189">
        <v>791.0</v>
      </c>
      <c r="BA37" s="192"/>
      <c r="BB37" s="192"/>
      <c r="BC37" s="193">
        <f t="shared" si="8"/>
        <v>0.6468276249</v>
      </c>
      <c r="BD37" s="189">
        <v>1152.0</v>
      </c>
      <c r="BE37" s="191">
        <f t="shared" si="9"/>
        <v>0.6709713644</v>
      </c>
      <c r="BF37" s="189">
        <f t="shared" si="10"/>
        <v>1195</v>
      </c>
      <c r="BG37" s="188"/>
      <c r="BH37" s="189">
        <v>938.0</v>
      </c>
      <c r="BI37" s="189">
        <v>257.0</v>
      </c>
      <c r="BJ37" s="191">
        <f t="shared" si="11"/>
        <v>0.03705783268</v>
      </c>
      <c r="BK37" s="189">
        <v>66.0</v>
      </c>
      <c r="BL37" s="194"/>
      <c r="BM37" s="195">
        <v>15.9</v>
      </c>
      <c r="BN37" s="196"/>
      <c r="BO37" s="196"/>
      <c r="BP37" s="197">
        <f t="shared" si="12"/>
        <v>1</v>
      </c>
      <c r="BQ37" s="189">
        <v>381.0</v>
      </c>
      <c r="BR37" s="196"/>
      <c r="BS37" s="196"/>
      <c r="BT37" s="197">
        <f t="shared" si="13"/>
        <v>0.9737532808</v>
      </c>
      <c r="BU37" s="189">
        <v>371.0</v>
      </c>
      <c r="BV37" s="190"/>
      <c r="BW37" s="190"/>
      <c r="BX37" s="191">
        <f t="shared" si="14"/>
        <v>0.7427821522</v>
      </c>
      <c r="BY37" s="189">
        <v>283.0</v>
      </c>
      <c r="BZ37" s="190"/>
      <c r="CA37" s="190"/>
      <c r="CB37" s="191">
        <f t="shared" si="15"/>
        <v>0.7349081365</v>
      </c>
      <c r="CC37" s="189">
        <v>280.0</v>
      </c>
      <c r="CD37" s="196"/>
      <c r="CE37" s="196"/>
      <c r="CF37" s="197">
        <f t="shared" si="16"/>
        <v>0.7060367454</v>
      </c>
      <c r="CG37" s="189">
        <v>269.0</v>
      </c>
      <c r="CH37" s="190"/>
      <c r="CI37" s="190"/>
      <c r="CJ37" s="191">
        <f t="shared" si="17"/>
        <v>0.3517060367</v>
      </c>
      <c r="CK37" s="189">
        <v>134.0</v>
      </c>
      <c r="CL37" s="191">
        <f t="shared" si="18"/>
        <v>0.2362204724</v>
      </c>
      <c r="CM37" s="189">
        <v>90.0</v>
      </c>
      <c r="CN37" s="190"/>
      <c r="CO37" s="190"/>
      <c r="CP37" s="191">
        <f t="shared" si="19"/>
        <v>0.8083989501</v>
      </c>
      <c r="CQ37" s="189">
        <v>308.0</v>
      </c>
      <c r="CR37" s="190"/>
      <c r="CS37" s="190"/>
      <c r="CT37" s="191">
        <f t="shared" si="20"/>
        <v>0.154855643</v>
      </c>
      <c r="CU37" s="189">
        <v>59.0</v>
      </c>
      <c r="CV37" s="190"/>
      <c r="CW37" s="190"/>
      <c r="CX37" s="191">
        <f t="shared" si="21"/>
        <v>0.2729658793</v>
      </c>
      <c r="CY37" s="189">
        <v>104.0</v>
      </c>
      <c r="CZ37" s="190"/>
      <c r="DA37" s="190"/>
      <c r="DB37" s="191">
        <f t="shared" si="22"/>
        <v>0.7559055118</v>
      </c>
      <c r="DC37" s="189">
        <v>288.0</v>
      </c>
    </row>
    <row r="38">
      <c r="A38" s="185"/>
      <c r="B38" s="183" t="s">
        <v>271</v>
      </c>
      <c r="C38" s="188"/>
      <c r="D38" s="189">
        <v>879.0</v>
      </c>
      <c r="E38" s="190"/>
      <c r="F38" s="190"/>
      <c r="G38" s="191">
        <f t="shared" si="1"/>
        <v>0.3447098976</v>
      </c>
      <c r="H38" s="189">
        <v>303.0</v>
      </c>
      <c r="I38" s="188"/>
      <c r="J38" s="188"/>
      <c r="K38" s="189"/>
      <c r="L38" s="189">
        <f t="shared" si="31"/>
        <v>576</v>
      </c>
      <c r="M38" s="190"/>
      <c r="N38" s="190"/>
      <c r="O38" s="191">
        <f t="shared" si="3"/>
        <v>0.5176336746</v>
      </c>
      <c r="P38" s="189">
        <v>455.0</v>
      </c>
      <c r="Q38" s="188"/>
      <c r="R38" s="188"/>
      <c r="S38" s="189"/>
      <c r="T38" s="189"/>
      <c r="U38" s="190"/>
      <c r="V38" s="190"/>
      <c r="W38" s="191">
        <f t="shared" si="4"/>
        <v>0.3492605233</v>
      </c>
      <c r="X38" s="189">
        <v>307.0</v>
      </c>
      <c r="Y38" s="190"/>
      <c r="Z38" s="190"/>
      <c r="AA38" s="191">
        <f t="shared" si="5"/>
        <v>0.01023890785</v>
      </c>
      <c r="AB38" s="189">
        <v>9.0</v>
      </c>
      <c r="AC38" s="188"/>
      <c r="AD38" s="189">
        <f t="shared" si="30"/>
        <v>6810</v>
      </c>
      <c r="AE38" s="188"/>
      <c r="AF38" s="188"/>
      <c r="AG38" s="189"/>
      <c r="AH38" s="189">
        <v>1694.0</v>
      </c>
      <c r="AI38" s="188"/>
      <c r="AJ38" s="189">
        <v>5116.0</v>
      </c>
      <c r="AK38" s="188"/>
      <c r="AL38" s="188"/>
      <c r="AM38" s="188"/>
      <c r="AN38" s="188"/>
      <c r="AO38" s="188"/>
      <c r="AP38" s="188"/>
      <c r="AQ38" s="189"/>
      <c r="AR38" s="189"/>
      <c r="AS38" s="189"/>
      <c r="AT38" s="189"/>
      <c r="AU38" s="189"/>
      <c r="AV38" s="189"/>
      <c r="AW38" s="188"/>
      <c r="AX38" s="188"/>
      <c r="AY38" s="191">
        <f t="shared" si="7"/>
        <v>0.5649045521</v>
      </c>
      <c r="AZ38" s="189">
        <v>3847.0</v>
      </c>
      <c r="BA38" s="192"/>
      <c r="BB38" s="192"/>
      <c r="BC38" s="193">
        <f t="shared" si="8"/>
        <v>0.6284875184</v>
      </c>
      <c r="BD38" s="189">
        <v>4280.0</v>
      </c>
      <c r="BE38" s="191">
        <f t="shared" si="9"/>
        <v>0.810866373</v>
      </c>
      <c r="BF38" s="189">
        <f t="shared" si="10"/>
        <v>5522</v>
      </c>
      <c r="BG38" s="188"/>
      <c r="BH38" s="189">
        <v>3537.0</v>
      </c>
      <c r="BI38" s="189">
        <v>1985.0</v>
      </c>
      <c r="BJ38" s="191">
        <f t="shared" si="11"/>
        <v>0.1546255507</v>
      </c>
      <c r="BK38" s="189">
        <v>1053.0</v>
      </c>
      <c r="BL38" s="194"/>
      <c r="BM38" s="195">
        <v>12.65</v>
      </c>
      <c r="BN38" s="196"/>
      <c r="BO38" s="196"/>
      <c r="BP38" s="197">
        <f t="shared" si="12"/>
        <v>1</v>
      </c>
      <c r="BQ38" s="189">
        <v>879.0</v>
      </c>
      <c r="BR38" s="196"/>
      <c r="BS38" s="196"/>
      <c r="BT38" s="197">
        <f t="shared" si="13"/>
        <v>0.98407281</v>
      </c>
      <c r="BU38" s="189">
        <v>865.0</v>
      </c>
      <c r="BV38" s="190"/>
      <c r="BW38" s="190"/>
      <c r="BX38" s="191">
        <f t="shared" si="14"/>
        <v>0.6313993174</v>
      </c>
      <c r="BY38" s="189">
        <v>555.0</v>
      </c>
      <c r="BZ38" s="190"/>
      <c r="CA38" s="190"/>
      <c r="CB38" s="191">
        <f t="shared" si="15"/>
        <v>0.614334471</v>
      </c>
      <c r="CC38" s="189">
        <v>540.0</v>
      </c>
      <c r="CD38" s="196"/>
      <c r="CE38" s="196"/>
      <c r="CF38" s="197">
        <f t="shared" si="16"/>
        <v>0.9704209329</v>
      </c>
      <c r="CG38" s="189">
        <v>853.0</v>
      </c>
      <c r="CH38" s="190"/>
      <c r="CI38" s="190"/>
      <c r="CJ38" s="191">
        <f t="shared" si="17"/>
        <v>0.5472127418</v>
      </c>
      <c r="CK38" s="189">
        <v>481.0</v>
      </c>
      <c r="CL38" s="191">
        <f t="shared" si="18"/>
        <v>0.1877133106</v>
      </c>
      <c r="CM38" s="189">
        <v>165.0</v>
      </c>
      <c r="CN38" s="190"/>
      <c r="CO38" s="190"/>
      <c r="CP38" s="191">
        <f t="shared" si="19"/>
        <v>0.4641638225</v>
      </c>
      <c r="CQ38" s="189">
        <v>408.0</v>
      </c>
      <c r="CR38" s="190"/>
      <c r="CS38" s="190"/>
      <c r="CT38" s="191">
        <f t="shared" si="20"/>
        <v>0.2320819113</v>
      </c>
      <c r="CU38" s="189">
        <v>204.0</v>
      </c>
      <c r="CV38" s="190"/>
      <c r="CW38" s="190"/>
      <c r="CX38" s="191">
        <f t="shared" si="21"/>
        <v>0.0944254835</v>
      </c>
      <c r="CY38" s="189">
        <v>83.0</v>
      </c>
      <c r="CZ38" s="190"/>
      <c r="DA38" s="190"/>
      <c r="DB38" s="191">
        <f t="shared" si="22"/>
        <v>0.5108077361</v>
      </c>
      <c r="DC38" s="189">
        <v>449.0</v>
      </c>
    </row>
    <row r="39">
      <c r="A39" s="177"/>
      <c r="B39" s="178" t="s">
        <v>246</v>
      </c>
      <c r="C39" s="203">
        <v>3913.0</v>
      </c>
      <c r="D39" s="199">
        <v>3911.0</v>
      </c>
      <c r="E39" s="204"/>
      <c r="F39" s="204"/>
      <c r="G39" s="202">
        <f t="shared" si="1"/>
        <v>0.6765533112</v>
      </c>
      <c r="H39" s="199">
        <v>2646.0</v>
      </c>
      <c r="I39" s="203"/>
      <c r="J39" s="203"/>
      <c r="K39" s="199"/>
      <c r="L39" s="199">
        <v>1265.0</v>
      </c>
      <c r="M39" s="204"/>
      <c r="N39" s="204"/>
      <c r="O39" s="202">
        <f t="shared" si="3"/>
        <v>0.6507287139</v>
      </c>
      <c r="P39" s="205">
        <v>2545.0</v>
      </c>
      <c r="Q39" s="206"/>
      <c r="R39" s="206"/>
      <c r="S39" s="205"/>
      <c r="T39" s="205"/>
      <c r="U39" s="204"/>
      <c r="V39" s="204"/>
      <c r="W39" s="202">
        <f t="shared" si="4"/>
        <v>0.2643825109</v>
      </c>
      <c r="X39" s="205">
        <v>1034.0</v>
      </c>
      <c r="Y39" s="204"/>
      <c r="Z39" s="204"/>
      <c r="AA39" s="202">
        <f t="shared" si="5"/>
        <v>0.01559703401</v>
      </c>
      <c r="AB39" s="205">
        <v>61.0</v>
      </c>
      <c r="AC39" s="206"/>
      <c r="AD39" s="205">
        <f t="shared" si="30"/>
        <v>23366</v>
      </c>
      <c r="AE39" s="206"/>
      <c r="AF39" s="206"/>
      <c r="AG39" s="205"/>
      <c r="AH39" s="205">
        <v>13358.0</v>
      </c>
      <c r="AI39" s="206"/>
      <c r="AJ39" s="205">
        <v>10008.0</v>
      </c>
      <c r="AK39" s="206"/>
      <c r="AL39" s="206"/>
      <c r="AM39" s="206"/>
      <c r="AN39" s="206"/>
      <c r="AO39" s="206"/>
      <c r="AP39" s="206"/>
      <c r="AQ39" s="205"/>
      <c r="AR39" s="205"/>
      <c r="AS39" s="205"/>
      <c r="AT39" s="205"/>
      <c r="AU39" s="205"/>
      <c r="AV39" s="205"/>
      <c r="AW39" s="206"/>
      <c r="AX39" s="206"/>
      <c r="AY39" s="202">
        <f t="shared" si="7"/>
        <v>0.4711974664</v>
      </c>
      <c r="AZ39" s="199">
        <v>11010.0</v>
      </c>
      <c r="BA39" s="207"/>
      <c r="BB39" s="207"/>
      <c r="BC39" s="208">
        <f t="shared" si="8"/>
        <v>0.6013438329</v>
      </c>
      <c r="BD39" s="199">
        <v>14051.0</v>
      </c>
      <c r="BE39" s="202">
        <f t="shared" si="9"/>
        <v>0.7296499187</v>
      </c>
      <c r="BF39" s="199">
        <f t="shared" si="10"/>
        <v>17049</v>
      </c>
      <c r="BG39" s="203"/>
      <c r="BH39" s="199">
        <v>12307.0</v>
      </c>
      <c r="BI39" s="199">
        <v>4742.0</v>
      </c>
      <c r="BJ39" s="202">
        <f t="shared" si="11"/>
        <v>0.137978259</v>
      </c>
      <c r="BK39" s="199">
        <v>3224.0</v>
      </c>
      <c r="BL39" s="203"/>
      <c r="BM39" s="199">
        <v>14.0</v>
      </c>
      <c r="BN39" s="209"/>
      <c r="BO39" s="209"/>
      <c r="BP39" s="210">
        <f t="shared" si="12"/>
        <v>0.9301968806</v>
      </c>
      <c r="BQ39" s="205">
        <v>3638.0</v>
      </c>
      <c r="BR39" s="209"/>
      <c r="BS39" s="196"/>
      <c r="BT39" s="210">
        <f t="shared" si="13"/>
        <v>0.9020710816</v>
      </c>
      <c r="BU39" s="205">
        <v>3528.0</v>
      </c>
      <c r="BV39" s="204"/>
      <c r="BW39" s="204"/>
      <c r="BX39" s="202">
        <f t="shared" si="14"/>
        <v>0.8698542572</v>
      </c>
      <c r="BY39" s="205">
        <v>3402.0</v>
      </c>
      <c r="BZ39" s="204"/>
      <c r="CA39" s="204"/>
      <c r="CB39" s="202">
        <f t="shared" si="15"/>
        <v>0.8683201227</v>
      </c>
      <c r="CC39" s="205">
        <v>3396.0</v>
      </c>
      <c r="CD39" s="209"/>
      <c r="CE39" s="209"/>
      <c r="CF39" s="210">
        <f t="shared" si="16"/>
        <v>0.7962158016</v>
      </c>
      <c r="CG39" s="205">
        <v>3114.0</v>
      </c>
      <c r="CH39" s="204"/>
      <c r="CI39" s="204"/>
      <c r="CJ39" s="202">
        <f t="shared" si="17"/>
        <v>0.3968294554</v>
      </c>
      <c r="CK39" s="205">
        <v>1552.0</v>
      </c>
      <c r="CL39" s="202">
        <f t="shared" si="18"/>
        <v>0.1897212989</v>
      </c>
      <c r="CM39" s="205">
        <v>742.0</v>
      </c>
      <c r="CN39" s="204"/>
      <c r="CO39" s="204"/>
      <c r="CP39" s="202">
        <f t="shared" si="19"/>
        <v>0.5382255178</v>
      </c>
      <c r="CQ39" s="205">
        <v>2105.0</v>
      </c>
      <c r="CR39" s="204"/>
      <c r="CS39" s="204"/>
      <c r="CT39" s="202">
        <f t="shared" si="20"/>
        <v>0.2168243416</v>
      </c>
      <c r="CU39" s="205">
        <v>848.0</v>
      </c>
      <c r="CV39" s="204"/>
      <c r="CW39" s="204"/>
      <c r="CX39" s="202">
        <f t="shared" si="21"/>
        <v>0.0784965482</v>
      </c>
      <c r="CY39" s="205">
        <v>307.0</v>
      </c>
      <c r="CZ39" s="204"/>
      <c r="DA39" s="204"/>
      <c r="DB39" s="202">
        <f t="shared" si="22"/>
        <v>0.6428023523</v>
      </c>
      <c r="DC39" s="205">
        <v>2514.0</v>
      </c>
    </row>
    <row r="40">
      <c r="A40" s="228" t="s">
        <v>272</v>
      </c>
      <c r="B40" s="7"/>
      <c r="C40" s="229">
        <v>1551000.0</v>
      </c>
      <c r="D40" s="230">
        <v>1489115.0</v>
      </c>
      <c r="E40" s="231">
        <v>0.84</v>
      </c>
      <c r="F40" s="229">
        <v>1299484.0</v>
      </c>
      <c r="G40" s="232">
        <v>0.8292</v>
      </c>
      <c r="H40" s="233">
        <v>1234788.0</v>
      </c>
      <c r="I40" s="234">
        <v>0.1621637653127015</v>
      </c>
      <c r="J40" s="229">
        <v>251516.0</v>
      </c>
      <c r="K40" s="235">
        <v>0.17079070454598871</v>
      </c>
      <c r="L40" s="233">
        <v>251516.0</v>
      </c>
      <c r="M40" s="236">
        <v>0.6653887814313346</v>
      </c>
      <c r="N40" s="229">
        <v>1032018.0</v>
      </c>
      <c r="O40" s="235">
        <v>0.6569606779865893</v>
      </c>
      <c r="P40" s="230">
        <v>978290.0</v>
      </c>
      <c r="Q40" s="237"/>
      <c r="R40" s="237"/>
      <c r="S40" s="230"/>
      <c r="T40" s="230"/>
      <c r="U40" s="236">
        <v>0.21033397807865892</v>
      </c>
      <c r="V40" s="229">
        <v>326228.0</v>
      </c>
      <c r="W40" s="235">
        <v>0.22553261500958624</v>
      </c>
      <c r="X40" s="230">
        <v>335844.0</v>
      </c>
      <c r="Y40" s="236">
        <v>0.07154803352675693</v>
      </c>
      <c r="Z40" s="238">
        <v>110971.0</v>
      </c>
      <c r="AA40" s="235">
        <v>0.07876154628756006</v>
      </c>
      <c r="AB40" s="233">
        <v>117285.0</v>
      </c>
      <c r="AC40" s="229">
        <v>9430839.0</v>
      </c>
      <c r="AD40" s="230">
        <v>9507123.0</v>
      </c>
      <c r="AE40" s="234">
        <v>0.7183363007257361</v>
      </c>
      <c r="AF40" s="229">
        <v>6774514.0</v>
      </c>
      <c r="AG40" s="239">
        <v>0.7009308704641772</v>
      </c>
      <c r="AH40" s="233">
        <v>6663836.0</v>
      </c>
      <c r="AI40" s="229">
        <v>2656325.0</v>
      </c>
      <c r="AJ40" s="233">
        <v>2843287.0</v>
      </c>
      <c r="AK40" s="236">
        <v>0.5030909763171654</v>
      </c>
      <c r="AL40" s="229">
        <v>4744570.0</v>
      </c>
      <c r="AM40" s="236">
        <v>0.08693256241570872</v>
      </c>
      <c r="AN40" s="229">
        <v>819847.0</v>
      </c>
      <c r="AO40" s="236">
        <v>0.35037953675171424</v>
      </c>
      <c r="AP40" s="229">
        <v>3304373.0</v>
      </c>
      <c r="AQ40" s="232">
        <v>0.4924694884035896</v>
      </c>
      <c r="AR40" s="233">
        <v>4681968.0</v>
      </c>
      <c r="AS40" s="232">
        <v>0.08379306757680531</v>
      </c>
      <c r="AT40" s="233">
        <v>796631.0</v>
      </c>
      <c r="AU40" s="232">
        <v>0.37242044727937146</v>
      </c>
      <c r="AV40" s="233">
        <v>3540647.0</v>
      </c>
      <c r="AW40" s="236">
        <v>0.4998740833132662</v>
      </c>
      <c r="AX40" s="229">
        <v>4714232.0</v>
      </c>
      <c r="AY40" s="239">
        <v>0.5129556018156071</v>
      </c>
      <c r="AZ40" s="233">
        <v>4876732.0</v>
      </c>
      <c r="BA40" s="234"/>
      <c r="BB40" s="234"/>
      <c r="BC40" s="235"/>
      <c r="BD40" s="233"/>
      <c r="BE40" s="239"/>
      <c r="BF40" s="233"/>
      <c r="BG40" s="229"/>
      <c r="BH40" s="233"/>
      <c r="BI40" s="233"/>
      <c r="BJ40" s="239"/>
      <c r="BK40" s="233"/>
      <c r="BL40" s="229"/>
      <c r="BM40" s="233"/>
      <c r="BN40" s="234">
        <v>0.8599258542875564</v>
      </c>
      <c r="BO40" s="229">
        <v>1333745.0</v>
      </c>
      <c r="BP40" s="240">
        <v>0.891816280139546</v>
      </c>
      <c r="BQ40" s="233">
        <v>1328017.0</v>
      </c>
      <c r="BR40" s="234">
        <v>0.9124184397163121</v>
      </c>
      <c r="BS40" s="203">
        <v>1415161.0</v>
      </c>
      <c r="BT40" s="241">
        <v>0.9593302061962978</v>
      </c>
      <c r="BU40" s="233">
        <v>1428553.0</v>
      </c>
      <c r="BV40" s="234">
        <v>0.8694042553191489</v>
      </c>
      <c r="BW40" s="229">
        <v>1348446.0</v>
      </c>
      <c r="BX40" s="241">
        <v>0.9099861327029813</v>
      </c>
      <c r="BY40" s="233">
        <v>1355074.0</v>
      </c>
      <c r="BZ40" s="234">
        <v>0.9023152804642166</v>
      </c>
      <c r="CA40" s="229">
        <v>1399491.0</v>
      </c>
      <c r="CB40" s="241">
        <v>0.9390174701080843</v>
      </c>
      <c r="CC40" s="233">
        <v>1398305.0</v>
      </c>
      <c r="CD40" s="242">
        <v>0.7385680206318505</v>
      </c>
      <c r="CE40" s="229">
        <v>1145519.0</v>
      </c>
      <c r="CF40" s="243">
        <v>0.8657793387347519</v>
      </c>
      <c r="CG40" s="233">
        <v>1289245.0</v>
      </c>
      <c r="CH40" s="242">
        <v>0.6523346228239846</v>
      </c>
      <c r="CI40" s="229">
        <v>1011771.0</v>
      </c>
      <c r="CJ40" s="244">
        <v>0.6259341958142923</v>
      </c>
      <c r="CK40" s="233">
        <v>932088.0</v>
      </c>
      <c r="CL40" s="239"/>
      <c r="CM40" s="245"/>
      <c r="CN40" s="234">
        <v>0.6552430689877499</v>
      </c>
      <c r="CO40" s="229">
        <v>1016282.0</v>
      </c>
      <c r="CP40" s="241">
        <v>0.767673416760962</v>
      </c>
      <c r="CQ40" s="233">
        <v>1143154.0</v>
      </c>
      <c r="CR40" s="242">
        <v>0.22147195357833654</v>
      </c>
      <c r="CS40" s="229">
        <v>343503.0</v>
      </c>
      <c r="CT40" s="239">
        <v>0.32001893742256304</v>
      </c>
      <c r="CU40" s="233">
        <v>476545.0</v>
      </c>
      <c r="CV40" s="242">
        <v>0.18726434558349453</v>
      </c>
      <c r="CW40" s="229">
        <v>290447.0</v>
      </c>
      <c r="CX40" s="239">
        <v>0.3391202156985861</v>
      </c>
      <c r="CY40" s="233">
        <v>504989.0</v>
      </c>
      <c r="CZ40" s="242">
        <v>0.7258961960025789</v>
      </c>
      <c r="DA40" s="229">
        <v>1125865.0</v>
      </c>
      <c r="DB40" s="244">
        <v>0.5840979373654822</v>
      </c>
      <c r="DC40" s="233">
        <v>869789.0</v>
      </c>
    </row>
    <row r="41">
      <c r="AE41" s="21"/>
      <c r="AF41" s="21"/>
      <c r="AG41" s="133"/>
      <c r="AH41" s="133"/>
      <c r="AI41" s="21">
        <f t="shared" ref="AI41:AJ41" si="32">(AI40/AC40)</f>
        <v>0.2816636993</v>
      </c>
      <c r="AJ41" s="21">
        <f t="shared" si="32"/>
        <v>0.2990691295</v>
      </c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</row>
    <row r="42">
      <c r="X42" s="246"/>
    </row>
  </sheetData>
  <mergeCells count="4">
    <mergeCell ref="C3:AB3"/>
    <mergeCell ref="AC3:BK3"/>
    <mergeCell ref="BN3:DC3"/>
    <mergeCell ref="A40:B40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22.13"/>
    <col customWidth="1" min="10" max="10" width="10.88"/>
    <col customWidth="1" min="11" max="11" width="11.88"/>
    <col customWidth="1" min="12" max="12" width="8.5"/>
    <col customWidth="1" min="13" max="13" width="14.5"/>
  </cols>
  <sheetData>
    <row r="1">
      <c r="B1" s="247">
        <v>2018.0</v>
      </c>
      <c r="E1" s="247">
        <v>2021.0</v>
      </c>
    </row>
    <row r="2">
      <c r="B2" s="248" t="s">
        <v>273</v>
      </c>
      <c r="C2" s="249" t="s">
        <v>274</v>
      </c>
      <c r="E2" s="77" t="s">
        <v>273</v>
      </c>
      <c r="F2" s="77" t="s">
        <v>274</v>
      </c>
    </row>
    <row r="3">
      <c r="B3" s="48">
        <v>1099.0</v>
      </c>
      <c r="C3" s="250">
        <v>0.20810452565801932</v>
      </c>
      <c r="E3" s="115">
        <v>937.0</v>
      </c>
      <c r="F3" s="52">
        <v>0.1693475510572926</v>
      </c>
      <c r="I3" s="251" t="s">
        <v>146</v>
      </c>
      <c r="J3" s="252" t="s">
        <v>15</v>
      </c>
      <c r="K3" s="252" t="s">
        <v>275</v>
      </c>
      <c r="L3" s="252" t="s">
        <v>276</v>
      </c>
      <c r="M3" s="253" t="s">
        <v>277</v>
      </c>
    </row>
    <row r="4">
      <c r="B4" s="60">
        <v>24032.0</v>
      </c>
      <c r="C4" s="254">
        <v>0.07493046981205023</v>
      </c>
      <c r="E4" s="115">
        <v>2105.0</v>
      </c>
      <c r="F4" s="52">
        <v>0.21290583594619197</v>
      </c>
      <c r="I4" s="255" t="s">
        <v>278</v>
      </c>
      <c r="J4" s="256">
        <v>5281.0</v>
      </c>
      <c r="K4" s="256">
        <v>1099.0</v>
      </c>
      <c r="L4" s="257">
        <f t="shared" ref="L4:L13" si="1">K4/J4</f>
        <v>0.2081045257</v>
      </c>
      <c r="M4" s="258">
        <v>0.5250227479526842</v>
      </c>
    </row>
    <row r="5">
      <c r="B5" s="259">
        <v>12478.0</v>
      </c>
      <c r="C5" s="260">
        <v>0.5263424305057578</v>
      </c>
      <c r="E5" s="115">
        <v>7227.0</v>
      </c>
      <c r="F5" s="52">
        <v>0.02809547875442211</v>
      </c>
      <c r="I5" s="261" t="s">
        <v>26</v>
      </c>
      <c r="J5" s="256">
        <v>23707.0</v>
      </c>
      <c r="K5" s="256">
        <v>12473.0</v>
      </c>
      <c r="L5" s="257">
        <f t="shared" si="1"/>
        <v>0.5261315223</v>
      </c>
      <c r="M5" s="258">
        <v>0.6737753547662952</v>
      </c>
    </row>
    <row r="6">
      <c r="B6" s="262">
        <v>69647.0</v>
      </c>
      <c r="C6" s="263">
        <v>0.19733158801396256</v>
      </c>
      <c r="E6" s="115">
        <v>88669.0</v>
      </c>
      <c r="F6" s="52">
        <v>0.3255604755505621</v>
      </c>
      <c r="I6" s="261" t="s">
        <v>27</v>
      </c>
      <c r="J6" s="256">
        <v>352944.0</v>
      </c>
      <c r="K6" s="256">
        <v>69647.0</v>
      </c>
      <c r="L6" s="257">
        <f t="shared" si="1"/>
        <v>0.197331588</v>
      </c>
      <c r="M6" s="258">
        <v>0.7575918560742028</v>
      </c>
    </row>
    <row r="7">
      <c r="B7" s="264">
        <v>26138.0</v>
      </c>
      <c r="C7" s="265">
        <v>0.04484315703511553</v>
      </c>
      <c r="E7" s="115"/>
      <c r="F7" s="52"/>
      <c r="I7" s="261" t="s">
        <v>31</v>
      </c>
      <c r="J7" s="256">
        <v>9345.0</v>
      </c>
      <c r="K7" s="256">
        <v>2275.0</v>
      </c>
      <c r="L7" s="257">
        <f t="shared" si="1"/>
        <v>0.2434456929</v>
      </c>
      <c r="M7" s="258">
        <v>0.712967032967033</v>
      </c>
    </row>
    <row r="8">
      <c r="B8" s="60">
        <v>2275.0</v>
      </c>
      <c r="C8" s="263">
        <v>0.24344569288389514</v>
      </c>
      <c r="E8" s="115">
        <v>48191.0</v>
      </c>
      <c r="F8" s="52">
        <v>0.0858306647241329</v>
      </c>
      <c r="I8" s="255" t="s">
        <v>279</v>
      </c>
      <c r="J8" s="256">
        <v>4489.0</v>
      </c>
      <c r="K8" s="256">
        <v>1567.0</v>
      </c>
      <c r="L8" s="257">
        <f t="shared" si="1"/>
        <v>0.3490755179</v>
      </c>
      <c r="M8" s="258">
        <v>0.8155711550733886</v>
      </c>
    </row>
    <row r="9">
      <c r="B9" s="262">
        <v>21440.0</v>
      </c>
      <c r="C9" s="191">
        <v>0.08221426325436572</v>
      </c>
      <c r="E9" s="115">
        <v>373.0</v>
      </c>
      <c r="F9" s="52">
        <v>0.24126778783958602</v>
      </c>
      <c r="I9" s="261" t="s">
        <v>50</v>
      </c>
      <c r="J9" s="256">
        <v>210418.0</v>
      </c>
      <c r="K9" s="256">
        <v>81447.0</v>
      </c>
      <c r="L9" s="257">
        <f t="shared" si="1"/>
        <v>0.3870723987</v>
      </c>
      <c r="M9" s="258">
        <v>0.7719744128083293</v>
      </c>
    </row>
    <row r="10">
      <c r="B10" s="60">
        <v>1567.0</v>
      </c>
      <c r="C10" s="263">
        <v>0.34907551793272446</v>
      </c>
      <c r="E10" s="115">
        <v>38565.0</v>
      </c>
      <c r="F10" s="52">
        <v>0.24773877739805228</v>
      </c>
      <c r="I10" s="261" t="s">
        <v>63</v>
      </c>
      <c r="J10" s="256">
        <v>55160.0</v>
      </c>
      <c r="K10" s="256">
        <v>26932.0</v>
      </c>
      <c r="L10" s="257">
        <f t="shared" si="1"/>
        <v>0.4882523568</v>
      </c>
      <c r="M10" s="258">
        <v>0.576711718401901</v>
      </c>
    </row>
    <row r="11">
      <c r="B11" s="60">
        <v>15362.0</v>
      </c>
      <c r="C11" s="254">
        <v>0.10133245382585752</v>
      </c>
      <c r="E11" s="115">
        <v>1387.0</v>
      </c>
      <c r="F11" s="52">
        <v>0.4271635355712966</v>
      </c>
      <c r="I11" s="261" t="s">
        <v>64</v>
      </c>
      <c r="J11" s="256">
        <v>23366.0</v>
      </c>
      <c r="K11" s="256">
        <v>14051.0</v>
      </c>
      <c r="L11" s="257">
        <f t="shared" si="1"/>
        <v>0.6013438329</v>
      </c>
      <c r="M11" s="258">
        <v>0.3502953526439399</v>
      </c>
    </row>
    <row r="12">
      <c r="B12" s="60">
        <v>1672.0</v>
      </c>
      <c r="C12" s="254">
        <v>0.12084417461694132</v>
      </c>
      <c r="E12" s="115">
        <v>31943.0</v>
      </c>
      <c r="F12" s="52">
        <v>0.07947225822823861</v>
      </c>
      <c r="I12" s="261" t="s">
        <v>73</v>
      </c>
      <c r="J12" s="256">
        <v>13613.0</v>
      </c>
      <c r="K12" s="256">
        <v>5268.0</v>
      </c>
      <c r="L12" s="257">
        <f t="shared" si="1"/>
        <v>0.3869830309</v>
      </c>
      <c r="M12" s="258">
        <v>0.6738800303720577</v>
      </c>
    </row>
    <row r="13">
      <c r="B13" s="60">
        <v>32636.0</v>
      </c>
      <c r="C13" s="254">
        <v>0.0863116804806965</v>
      </c>
      <c r="E13" s="115">
        <v>59950.0</v>
      </c>
      <c r="F13" s="52">
        <v>0.24758915481033308</v>
      </c>
      <c r="I13" s="266" t="s">
        <v>78</v>
      </c>
      <c r="J13" s="267">
        <v>36433.0</v>
      </c>
      <c r="K13" s="267">
        <v>9772.0</v>
      </c>
      <c r="L13" s="268">
        <f t="shared" si="1"/>
        <v>0.2682183735</v>
      </c>
      <c r="M13" s="269">
        <v>0.5363282848956201</v>
      </c>
    </row>
    <row r="14">
      <c r="B14" s="60">
        <v>88145.0</v>
      </c>
      <c r="C14" s="270">
        <v>0.37099000816518934</v>
      </c>
      <c r="E14" s="115">
        <v>64946.0</v>
      </c>
      <c r="F14" s="52">
        <v>0.08433176432397338</v>
      </c>
    </row>
    <row r="15">
      <c r="B15" s="60">
        <v>22463.0</v>
      </c>
      <c r="C15" s="263">
        <v>0.2243226779312342</v>
      </c>
      <c r="E15" s="115">
        <v>727.0</v>
      </c>
      <c r="F15" s="52">
        <v>0.0565406750661067</v>
      </c>
      <c r="I15" s="271" t="s">
        <v>15</v>
      </c>
      <c r="J15" s="272" t="s">
        <v>280</v>
      </c>
      <c r="K15" s="272" t="s">
        <v>281</v>
      </c>
      <c r="L15" s="272" t="s">
        <v>282</v>
      </c>
      <c r="M15" s="273" t="s">
        <v>283</v>
      </c>
    </row>
    <row r="16">
      <c r="B16" s="60">
        <v>21108.0</v>
      </c>
      <c r="C16" s="254">
        <v>0.1263150335715055</v>
      </c>
      <c r="E16" s="115">
        <v>62918.0</v>
      </c>
      <c r="F16" s="52">
        <v>0.08394405508570117</v>
      </c>
      <c r="I16" s="274">
        <v>9507123.0</v>
      </c>
      <c r="J16" s="275">
        <v>1253313.0</v>
      </c>
      <c r="K16" s="275">
        <v>747435.0</v>
      </c>
      <c r="L16" s="276">
        <v>518111.0</v>
      </c>
      <c r="M16" s="277">
        <v>603410.0</v>
      </c>
    </row>
    <row r="17">
      <c r="B17" s="60">
        <v>81447.0</v>
      </c>
      <c r="C17" s="270">
        <v>0.38707239874915644</v>
      </c>
      <c r="E17" s="115">
        <v>5536.0</v>
      </c>
      <c r="F17" s="52">
        <v>0.017587444800965784</v>
      </c>
      <c r="I17" s="278"/>
      <c r="J17" s="279">
        <v>0.13182884033371609</v>
      </c>
      <c r="K17" s="279">
        <v>0.5963673878751756</v>
      </c>
      <c r="L17" s="280">
        <v>0.413393142814285</v>
      </c>
      <c r="M17" s="281">
        <v>0.48145195972594235</v>
      </c>
    </row>
    <row r="18">
      <c r="B18" s="262">
        <v>11723.0</v>
      </c>
      <c r="C18" s="191">
        <v>0.027175198082459794</v>
      </c>
      <c r="E18" s="115">
        <v>33101.0</v>
      </c>
      <c r="F18" s="52">
        <v>0.32562417612686173</v>
      </c>
    </row>
    <row r="19">
      <c r="B19" s="60">
        <v>11941.0</v>
      </c>
      <c r="C19" s="254">
        <v>0.04447747073262488</v>
      </c>
      <c r="E19" s="115">
        <v>10081.0</v>
      </c>
      <c r="F19" s="52">
        <v>0.021643590332629845</v>
      </c>
    </row>
    <row r="20">
      <c r="B20" s="60">
        <v>688.0</v>
      </c>
      <c r="C20" s="254">
        <v>0.11177904142973193</v>
      </c>
      <c r="E20" s="115">
        <v>74202.0</v>
      </c>
      <c r="F20" s="52">
        <v>0.2179354258877986</v>
      </c>
    </row>
    <row r="21">
      <c r="B21" s="60">
        <v>0.0</v>
      </c>
      <c r="C21" s="254">
        <v>0.0</v>
      </c>
      <c r="E21" s="115">
        <v>10196.0</v>
      </c>
      <c r="F21" s="52">
        <v>0.21735701038180308</v>
      </c>
    </row>
    <row r="22">
      <c r="B22" s="60">
        <v>24649.0</v>
      </c>
      <c r="C22" s="254">
        <v>0.04099912176817341</v>
      </c>
      <c r="E22" s="115">
        <v>221054.0</v>
      </c>
      <c r="F22" s="52">
        <v>0.16805870430262032</v>
      </c>
    </row>
    <row r="23">
      <c r="B23" s="264">
        <v>62391.0</v>
      </c>
      <c r="C23" s="265">
        <v>0.08334479934917559</v>
      </c>
      <c r="E23" s="115">
        <v>109486.0</v>
      </c>
      <c r="F23" s="52">
        <v>0.17785712429172948</v>
      </c>
    </row>
    <row r="24">
      <c r="B24" s="60">
        <v>14731.0</v>
      </c>
      <c r="C24" s="263">
        <v>0.3451176084715584</v>
      </c>
      <c r="E24" s="115">
        <v>1636.0</v>
      </c>
      <c r="F24" s="52">
        <v>0.1196256215267622</v>
      </c>
    </row>
    <row r="25">
      <c r="B25" s="60">
        <v>26932.0</v>
      </c>
      <c r="C25" s="270">
        <v>0.48825235678027556</v>
      </c>
      <c r="E25" s="115">
        <v>86980.0</v>
      </c>
      <c r="F25" s="52">
        <v>0.40712968423811796</v>
      </c>
    </row>
    <row r="26">
      <c r="B26" s="262">
        <v>14051.0</v>
      </c>
      <c r="C26" s="260">
        <v>0.6013438329196268</v>
      </c>
      <c r="E26" s="115">
        <v>22635.0</v>
      </c>
      <c r="F26" s="52">
        <v>0.12827342328812924</v>
      </c>
    </row>
    <row r="27">
      <c r="B27" s="60">
        <v>5597.0</v>
      </c>
      <c r="C27" s="254">
        <v>0.17823705496465192</v>
      </c>
      <c r="E27" s="115">
        <v>209.0</v>
      </c>
      <c r="F27" s="52">
        <v>0.19735599622285174</v>
      </c>
    </row>
    <row r="28">
      <c r="B28" s="60">
        <v>55125.0</v>
      </c>
      <c r="C28" s="254">
        <v>0.16637190042736075</v>
      </c>
      <c r="E28" s="115">
        <v>15897.0</v>
      </c>
      <c r="F28" s="52">
        <v>0.35015418502202644</v>
      </c>
    </row>
    <row r="29">
      <c r="B29" s="60">
        <v>802.0</v>
      </c>
      <c r="C29" s="254">
        <v>0.06491299069202752</v>
      </c>
      <c r="E29" s="115">
        <v>5090.0</v>
      </c>
      <c r="F29" s="52">
        <v>0.3565174756601527</v>
      </c>
    </row>
    <row r="30">
      <c r="B30" s="264">
        <v>62997.0</v>
      </c>
      <c r="C30" s="263">
        <v>0.24499677211103937</v>
      </c>
      <c r="E30" s="115">
        <v>24446.0</v>
      </c>
      <c r="F30" s="52">
        <v>0.09498498253466839</v>
      </c>
    </row>
    <row r="31">
      <c r="B31" s="60">
        <v>54947.0</v>
      </c>
      <c r="C31" s="254">
        <v>0.07583865291052759</v>
      </c>
      <c r="E31" s="115">
        <v>8125.0</v>
      </c>
      <c r="F31" s="52">
        <v>0.06720485694670758</v>
      </c>
    </row>
    <row r="32">
      <c r="B32" s="60">
        <v>5268.0</v>
      </c>
      <c r="C32" s="260">
        <v>0.3869830309263204</v>
      </c>
      <c r="E32" s="115">
        <v>60732.0</v>
      </c>
      <c r="F32" s="52">
        <v>0.16152729090976792</v>
      </c>
    </row>
    <row r="33">
      <c r="B33" s="60">
        <v>53406.0</v>
      </c>
      <c r="C33" s="254">
        <v>0.09370788882650197</v>
      </c>
      <c r="E33" s="115">
        <v>25689.0</v>
      </c>
      <c r="F33" s="52">
        <v>0.04396339720738559</v>
      </c>
    </row>
    <row r="34">
      <c r="B34" s="264">
        <v>19839.0</v>
      </c>
      <c r="C34" s="265">
        <v>0.061824153770403935</v>
      </c>
      <c r="E34" s="115">
        <v>9140.0</v>
      </c>
      <c r="F34" s="52">
        <v>0.01577428618766223</v>
      </c>
    </row>
    <row r="35">
      <c r="B35" s="60">
        <v>9772.0</v>
      </c>
      <c r="C35" s="263">
        <v>0.2682183734526391</v>
      </c>
      <c r="E35" s="115">
        <v>13566.0</v>
      </c>
      <c r="F35" s="52">
        <v>0.5796692731701064</v>
      </c>
    </row>
    <row r="36">
      <c r="B36" s="60">
        <v>289435.0</v>
      </c>
      <c r="C36" s="254">
        <v>0.19195491793493688</v>
      </c>
      <c r="E36" s="115">
        <v>12889.0</v>
      </c>
      <c r="F36" s="52">
        <v>0.5511652768868933</v>
      </c>
    </row>
    <row r="37">
      <c r="B37" s="60">
        <v>9827.0</v>
      </c>
      <c r="C37" s="254">
        <v>0.079756841866052</v>
      </c>
      <c r="E37" s="115">
        <v>17166.0</v>
      </c>
      <c r="F37" s="52">
        <v>0.0636084040463927</v>
      </c>
    </row>
    <row r="38">
      <c r="B38" s="60">
        <v>97683.0</v>
      </c>
      <c r="C38" s="254">
        <v>0.16793051933428116</v>
      </c>
      <c r="E38" s="115">
        <v>4744.0</v>
      </c>
      <c r="F38" s="52">
        <v>0.14818054037170075</v>
      </c>
    </row>
    <row r="39">
      <c r="B39" s="141">
        <v>1253313.0</v>
      </c>
      <c r="C39" s="282">
        <v>0.13182884033371609</v>
      </c>
      <c r="E39" s="115">
        <v>28692.0</v>
      </c>
      <c r="F39" s="52">
        <v>0.5157648750674096</v>
      </c>
    </row>
    <row r="40">
      <c r="E40" s="115">
        <v>1209230.0</v>
      </c>
      <c r="F40" s="52">
        <v>0.12822082955715816</v>
      </c>
    </row>
  </sheetData>
  <mergeCells count="1">
    <mergeCell ref="I16:I17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88"/>
    <col customWidth="1" min="12" max="12" width="25.63"/>
  </cols>
  <sheetData>
    <row r="1">
      <c r="A1" s="283" t="s">
        <v>284</v>
      </c>
      <c r="B1" s="284">
        <v>2018.0</v>
      </c>
      <c r="C1" s="284">
        <v>2021.0</v>
      </c>
    </row>
    <row r="2">
      <c r="A2" s="69" t="s">
        <v>285</v>
      </c>
      <c r="B2" s="58">
        <v>27.7</v>
      </c>
      <c r="C2" s="285">
        <v>26.0</v>
      </c>
    </row>
    <row r="3">
      <c r="A3" s="69" t="s">
        <v>286</v>
      </c>
      <c r="B3" s="58">
        <v>19.1</v>
      </c>
      <c r="C3" s="285">
        <v>19.0</v>
      </c>
    </row>
    <row r="4">
      <c r="A4" s="69" t="s">
        <v>287</v>
      </c>
      <c r="B4" s="58">
        <v>20.6</v>
      </c>
      <c r="C4" s="285">
        <v>18.0</v>
      </c>
    </row>
    <row r="5">
      <c r="A5" s="69" t="s">
        <v>288</v>
      </c>
      <c r="B5" s="58">
        <v>29.6</v>
      </c>
      <c r="C5" s="285">
        <v>27.0</v>
      </c>
    </row>
    <row r="6">
      <c r="A6" s="69" t="s">
        <v>289</v>
      </c>
      <c r="B6" s="286">
        <v>7697794.0</v>
      </c>
      <c r="C6" s="287">
        <v>8188534.0</v>
      </c>
    </row>
    <row r="7">
      <c r="A7" s="69" t="s">
        <v>290</v>
      </c>
      <c r="B7" s="58">
        <v>7505253.0</v>
      </c>
      <c r="C7" s="285">
        <v>7961193.0</v>
      </c>
    </row>
    <row r="8">
      <c r="A8" s="69" t="s">
        <v>291</v>
      </c>
      <c r="B8" s="286">
        <v>110971.0</v>
      </c>
      <c r="C8" s="288">
        <v>117285.0</v>
      </c>
    </row>
    <row r="9">
      <c r="A9" s="69" t="s">
        <v>292</v>
      </c>
      <c r="B9" s="58">
        <v>1415161.0</v>
      </c>
      <c r="C9" s="285">
        <v>1428553.0</v>
      </c>
    </row>
    <row r="10">
      <c r="A10" s="69" t="s">
        <v>293</v>
      </c>
      <c r="B10" s="58">
        <v>1348446.0</v>
      </c>
      <c r="C10" s="285">
        <v>1355074.0</v>
      </c>
    </row>
    <row r="11">
      <c r="A11" s="69" t="s">
        <v>294</v>
      </c>
      <c r="B11" s="58">
        <v>1399491.0</v>
      </c>
      <c r="C11" s="285">
        <v>1398305.0</v>
      </c>
    </row>
    <row r="13">
      <c r="A13" s="42"/>
      <c r="B13" s="42"/>
      <c r="C13" s="42"/>
    </row>
    <row r="14">
      <c r="A14" s="289" t="s">
        <v>295</v>
      </c>
      <c r="B14" s="290" t="s">
        <v>296</v>
      </c>
      <c r="C14" s="290" t="s">
        <v>297</v>
      </c>
      <c r="D14" s="291" t="s">
        <v>298</v>
      </c>
      <c r="E14" s="6"/>
      <c r="F14" s="6"/>
      <c r="G14" s="6"/>
      <c r="H14" s="6"/>
      <c r="I14" s="6"/>
      <c r="J14" s="6"/>
      <c r="K14" s="7"/>
    </row>
    <row r="15">
      <c r="A15" s="292"/>
      <c r="B15" s="293"/>
      <c r="C15" s="293"/>
      <c r="D15" s="294">
        <v>2018.0</v>
      </c>
      <c r="E15" s="294">
        <v>2021.0</v>
      </c>
      <c r="F15" s="294">
        <v>2018.0</v>
      </c>
      <c r="G15" s="294">
        <v>2021.0</v>
      </c>
      <c r="H15" s="294">
        <v>2018.0</v>
      </c>
      <c r="I15" s="294">
        <v>2021.0</v>
      </c>
      <c r="J15" s="294">
        <v>2018.0</v>
      </c>
      <c r="K15" s="294">
        <v>2021.0</v>
      </c>
      <c r="M15" s="295"/>
    </row>
    <row r="16">
      <c r="A16" s="296"/>
      <c r="B16" s="181"/>
      <c r="C16" s="181"/>
      <c r="D16" s="297" t="s">
        <v>299</v>
      </c>
      <c r="E16" s="181"/>
      <c r="F16" s="297" t="s">
        <v>300</v>
      </c>
      <c r="G16" s="181"/>
      <c r="H16" s="297" t="s">
        <v>301</v>
      </c>
      <c r="I16" s="181"/>
      <c r="J16" s="297" t="s">
        <v>302</v>
      </c>
      <c r="K16" s="181"/>
      <c r="L16" s="42" t="s">
        <v>303</v>
      </c>
      <c r="M16" s="42"/>
    </row>
    <row r="17">
      <c r="A17" s="298" t="s">
        <v>304</v>
      </c>
      <c r="B17" s="299">
        <v>853.0</v>
      </c>
      <c r="C17" s="300" t="s">
        <v>23</v>
      </c>
      <c r="D17" s="301">
        <v>14.0</v>
      </c>
      <c r="E17" s="302">
        <v>12.0</v>
      </c>
      <c r="F17" s="301">
        <v>10.0</v>
      </c>
      <c r="G17" s="302">
        <v>9.0</v>
      </c>
      <c r="H17" s="301">
        <v>9.0</v>
      </c>
      <c r="I17" s="302">
        <v>7.0</v>
      </c>
      <c r="J17" s="303">
        <v>10.0</v>
      </c>
      <c r="K17" s="302">
        <v>12.0</v>
      </c>
      <c r="M17" s="295"/>
    </row>
    <row r="18">
      <c r="A18" s="298" t="s">
        <v>305</v>
      </c>
      <c r="B18" s="299">
        <v>902.0</v>
      </c>
      <c r="C18" s="300" t="s">
        <v>24</v>
      </c>
      <c r="D18" s="301">
        <v>25.0</v>
      </c>
      <c r="E18" s="302">
        <v>25.0</v>
      </c>
      <c r="F18" s="301">
        <v>16.0</v>
      </c>
      <c r="G18" s="302">
        <v>15.0</v>
      </c>
      <c r="H18" s="301">
        <v>15.0</v>
      </c>
      <c r="I18" s="302">
        <v>10.0</v>
      </c>
      <c r="J18" s="303">
        <v>33.0</v>
      </c>
      <c r="K18" s="302">
        <v>31.0</v>
      </c>
      <c r="M18" s="295"/>
    </row>
    <row r="19">
      <c r="A19" s="298" t="s">
        <v>306</v>
      </c>
      <c r="B19" s="299">
        <v>669.0</v>
      </c>
      <c r="C19" s="300" t="s">
        <v>26</v>
      </c>
      <c r="D19" s="301">
        <v>13.0</v>
      </c>
      <c r="E19" s="302">
        <v>11.0</v>
      </c>
      <c r="F19" s="301">
        <v>9.0</v>
      </c>
      <c r="G19" s="302">
        <v>8.0</v>
      </c>
      <c r="H19" s="301">
        <v>13.0</v>
      </c>
      <c r="I19" s="302">
        <v>10.0</v>
      </c>
      <c r="J19" s="303">
        <v>17.0</v>
      </c>
      <c r="K19" s="302">
        <v>19.0</v>
      </c>
      <c r="M19" s="295"/>
    </row>
    <row r="20">
      <c r="A20" s="298" t="s">
        <v>306</v>
      </c>
      <c r="B20" s="299">
        <v>848.0</v>
      </c>
      <c r="C20" s="300" t="s">
        <v>27</v>
      </c>
      <c r="D20" s="301">
        <v>21.0</v>
      </c>
      <c r="E20" s="302">
        <v>21.0</v>
      </c>
      <c r="F20" s="301">
        <v>13.0</v>
      </c>
      <c r="G20" s="302">
        <v>14.0</v>
      </c>
      <c r="H20" s="301">
        <v>10.0</v>
      </c>
      <c r="I20" s="302">
        <v>11.0</v>
      </c>
      <c r="J20" s="303">
        <v>16.0</v>
      </c>
      <c r="K20" s="302">
        <v>20.0</v>
      </c>
      <c r="M20" s="295"/>
    </row>
    <row r="21">
      <c r="A21" s="298" t="s">
        <v>307</v>
      </c>
      <c r="B21" s="299">
        <v>773.0</v>
      </c>
      <c r="C21" s="300" t="s">
        <v>29</v>
      </c>
      <c r="D21" s="304">
        <v>63.0</v>
      </c>
      <c r="E21" s="305">
        <v>53.0</v>
      </c>
      <c r="F21" s="301">
        <v>19.0</v>
      </c>
      <c r="G21" s="302">
        <v>23.0</v>
      </c>
      <c r="H21" s="304">
        <v>57.0</v>
      </c>
      <c r="I21" s="305">
        <v>54.0</v>
      </c>
      <c r="J21" s="306">
        <v>61.0</v>
      </c>
      <c r="K21" s="306">
        <v>62.0</v>
      </c>
      <c r="L21" s="36" t="s">
        <v>308</v>
      </c>
      <c r="M21" s="295"/>
    </row>
    <row r="22">
      <c r="A22" s="298" t="s">
        <v>309</v>
      </c>
      <c r="B22" s="299">
        <v>927.0</v>
      </c>
      <c r="C22" s="300" t="s">
        <v>31</v>
      </c>
      <c r="D22" s="301">
        <v>27.0</v>
      </c>
      <c r="E22" s="302">
        <v>28.0</v>
      </c>
      <c r="F22" s="301">
        <v>14.0</v>
      </c>
      <c r="G22" s="302">
        <v>15.0</v>
      </c>
      <c r="H22" s="301">
        <v>11.0</v>
      </c>
      <c r="I22" s="302">
        <v>12.0</v>
      </c>
      <c r="J22" s="303">
        <v>25.0</v>
      </c>
      <c r="K22" s="302">
        <v>27.0</v>
      </c>
      <c r="M22" s="295"/>
    </row>
    <row r="23">
      <c r="A23" s="298" t="s">
        <v>304</v>
      </c>
      <c r="B23" s="299">
        <v>843.0</v>
      </c>
      <c r="C23" s="300" t="s">
        <v>32</v>
      </c>
      <c r="D23" s="301">
        <v>19.0</v>
      </c>
      <c r="E23" s="302">
        <v>20.0</v>
      </c>
      <c r="F23" s="301">
        <v>17.0</v>
      </c>
      <c r="G23" s="302">
        <v>18.0</v>
      </c>
      <c r="H23" s="301">
        <v>17.0</v>
      </c>
      <c r="I23" s="302">
        <v>14.0</v>
      </c>
      <c r="J23" s="303">
        <v>13.0</v>
      </c>
      <c r="K23" s="302">
        <v>16.0</v>
      </c>
      <c r="M23" s="295"/>
    </row>
    <row r="24">
      <c r="A24" s="298" t="s">
        <v>304</v>
      </c>
      <c r="B24" s="299">
        <v>857.0</v>
      </c>
      <c r="C24" s="300" t="s">
        <v>34</v>
      </c>
      <c r="D24" s="301">
        <v>27.0</v>
      </c>
      <c r="E24" s="302">
        <v>30.0</v>
      </c>
      <c r="F24" s="301">
        <v>22.0</v>
      </c>
      <c r="G24" s="302">
        <v>28.0</v>
      </c>
      <c r="H24" s="301">
        <v>27.0</v>
      </c>
      <c r="I24" s="302">
        <v>20.0</v>
      </c>
      <c r="J24" s="303">
        <v>27.0</v>
      </c>
      <c r="K24" s="302">
        <v>25.0</v>
      </c>
      <c r="M24" s="295"/>
    </row>
    <row r="25">
      <c r="A25" s="298" t="s">
        <v>273</v>
      </c>
      <c r="B25" s="299">
        <v>899.0</v>
      </c>
      <c r="C25" s="300" t="s">
        <v>39</v>
      </c>
      <c r="D25" s="301">
        <v>29.0</v>
      </c>
      <c r="E25" s="302">
        <v>33.0</v>
      </c>
      <c r="F25" s="301">
        <v>21.0</v>
      </c>
      <c r="G25" s="302">
        <v>32.0</v>
      </c>
      <c r="H25" s="301">
        <v>14.0</v>
      </c>
      <c r="I25" s="302">
        <v>27.0</v>
      </c>
      <c r="J25" s="303">
        <v>16.0</v>
      </c>
      <c r="K25" s="302">
        <v>21.0</v>
      </c>
      <c r="M25" s="295"/>
    </row>
    <row r="26">
      <c r="A26" s="298" t="s">
        <v>304</v>
      </c>
      <c r="B26" s="299">
        <v>795.0</v>
      </c>
      <c r="C26" s="300" t="s">
        <v>41</v>
      </c>
      <c r="D26" s="301">
        <v>32.0</v>
      </c>
      <c r="E26" s="302">
        <v>26.0</v>
      </c>
      <c r="F26" s="307">
        <v>29.0</v>
      </c>
      <c r="G26" s="302">
        <v>15.0</v>
      </c>
      <c r="H26" s="304">
        <v>28.0</v>
      </c>
      <c r="I26" s="305">
        <v>9.0</v>
      </c>
      <c r="J26" s="303">
        <v>17.0</v>
      </c>
      <c r="K26" s="302">
        <v>18.0</v>
      </c>
      <c r="L26" s="36" t="s">
        <v>310</v>
      </c>
      <c r="M26" s="295"/>
    </row>
    <row r="27">
      <c r="A27" s="298" t="s">
        <v>309</v>
      </c>
      <c r="B27" s="299">
        <v>903.0</v>
      </c>
      <c r="C27" s="300" t="s">
        <v>42</v>
      </c>
      <c r="D27" s="301">
        <v>27.0</v>
      </c>
      <c r="E27" s="302">
        <v>30.0</v>
      </c>
      <c r="F27" s="301">
        <v>18.0</v>
      </c>
      <c r="G27" s="302">
        <v>24.0</v>
      </c>
      <c r="H27" s="301">
        <v>10.0</v>
      </c>
      <c r="I27" s="302">
        <v>29.0</v>
      </c>
      <c r="J27" s="303">
        <v>17.0</v>
      </c>
      <c r="K27" s="302">
        <v>28.0</v>
      </c>
      <c r="M27" s="295"/>
    </row>
    <row r="28">
      <c r="A28" s="298" t="s">
        <v>309</v>
      </c>
      <c r="B28" s="299">
        <v>865.0</v>
      </c>
      <c r="C28" s="300" t="s">
        <v>44</v>
      </c>
      <c r="D28" s="301">
        <v>29.0</v>
      </c>
      <c r="E28" s="302">
        <v>25.0</v>
      </c>
      <c r="F28" s="301">
        <v>25.0</v>
      </c>
      <c r="G28" s="302">
        <v>19.0</v>
      </c>
      <c r="H28" s="304">
        <v>32.0</v>
      </c>
      <c r="I28" s="305">
        <v>12.0</v>
      </c>
      <c r="J28" s="305">
        <v>26.0</v>
      </c>
      <c r="K28" s="305">
        <v>14.0</v>
      </c>
      <c r="L28" s="36" t="s">
        <v>311</v>
      </c>
      <c r="M28" s="295"/>
    </row>
    <row r="29">
      <c r="A29" s="298" t="s">
        <v>273</v>
      </c>
      <c r="B29" s="299">
        <v>869.0</v>
      </c>
      <c r="C29" s="300" t="s">
        <v>46</v>
      </c>
      <c r="D29" s="301">
        <v>24.0</v>
      </c>
      <c r="E29" s="302">
        <v>15.0</v>
      </c>
      <c r="F29" s="301">
        <v>18.0</v>
      </c>
      <c r="G29" s="302">
        <v>8.0</v>
      </c>
      <c r="H29" s="301">
        <v>14.0</v>
      </c>
      <c r="I29" s="302">
        <v>6.0</v>
      </c>
      <c r="J29" s="303">
        <v>12.0</v>
      </c>
      <c r="K29" s="302">
        <v>10.0</v>
      </c>
      <c r="M29" s="295"/>
    </row>
    <row r="30">
      <c r="A30" s="298" t="s">
        <v>273</v>
      </c>
      <c r="B30" s="299">
        <v>834.0</v>
      </c>
      <c r="C30" s="300" t="s">
        <v>48</v>
      </c>
      <c r="D30" s="301">
        <v>15.0</v>
      </c>
      <c r="E30" s="302">
        <v>14.0</v>
      </c>
      <c r="F30" s="301">
        <v>9.0</v>
      </c>
      <c r="G30" s="302">
        <v>9.0</v>
      </c>
      <c r="H30" s="301">
        <v>8.0</v>
      </c>
      <c r="I30" s="302">
        <v>12.0</v>
      </c>
      <c r="J30" s="303">
        <v>9.0</v>
      </c>
      <c r="K30" s="302">
        <v>27.0</v>
      </c>
      <c r="M30" s="295"/>
    </row>
    <row r="31">
      <c r="A31" s="298" t="s">
        <v>307</v>
      </c>
      <c r="B31" s="299">
        <v>841.0</v>
      </c>
      <c r="C31" s="300" t="s">
        <v>50</v>
      </c>
      <c r="D31" s="301">
        <v>16.0</v>
      </c>
      <c r="E31" s="302">
        <v>29.0</v>
      </c>
      <c r="F31" s="308">
        <v>7.0</v>
      </c>
      <c r="G31" s="306">
        <v>25.0</v>
      </c>
      <c r="H31" s="308">
        <v>11.0</v>
      </c>
      <c r="I31" s="306">
        <v>34.0</v>
      </c>
      <c r="J31" s="306">
        <v>23.0</v>
      </c>
      <c r="K31" s="306">
        <v>57.0</v>
      </c>
      <c r="L31" s="36" t="s">
        <v>312</v>
      </c>
      <c r="M31" s="295"/>
    </row>
    <row r="32">
      <c r="A32" s="298" t="s">
        <v>273</v>
      </c>
      <c r="B32" s="299">
        <v>862.0</v>
      </c>
      <c r="C32" s="300" t="s">
        <v>52</v>
      </c>
      <c r="D32" s="301">
        <v>34.0</v>
      </c>
      <c r="E32" s="302">
        <v>22.0</v>
      </c>
      <c r="F32" s="301">
        <v>22.0</v>
      </c>
      <c r="G32" s="302">
        <v>17.0</v>
      </c>
      <c r="H32" s="304">
        <v>50.0</v>
      </c>
      <c r="I32" s="305">
        <v>17.0</v>
      </c>
      <c r="J32" s="305">
        <v>69.0</v>
      </c>
      <c r="K32" s="305">
        <v>28.0</v>
      </c>
      <c r="L32" s="36" t="s">
        <v>313</v>
      </c>
      <c r="M32" s="295"/>
    </row>
    <row r="33">
      <c r="A33" s="298" t="s">
        <v>305</v>
      </c>
      <c r="B33" s="299">
        <v>928.0</v>
      </c>
      <c r="C33" s="300" t="s">
        <v>54</v>
      </c>
      <c r="D33" s="301">
        <v>32.0</v>
      </c>
      <c r="E33" s="302">
        <v>27.0</v>
      </c>
      <c r="F33" s="301">
        <v>20.0</v>
      </c>
      <c r="G33" s="302">
        <v>21.0</v>
      </c>
      <c r="H33" s="301">
        <v>14.0</v>
      </c>
      <c r="I33" s="302">
        <v>14.0</v>
      </c>
      <c r="J33" s="303">
        <v>24.0</v>
      </c>
      <c r="K33" s="302">
        <v>21.0</v>
      </c>
      <c r="M33" s="295"/>
    </row>
    <row r="34">
      <c r="A34" s="298" t="s">
        <v>305</v>
      </c>
      <c r="B34" s="299">
        <v>844.0</v>
      </c>
      <c r="C34" s="300" t="s">
        <v>56</v>
      </c>
      <c r="D34" s="304">
        <v>27.0</v>
      </c>
      <c r="E34" s="305">
        <v>8.0</v>
      </c>
      <c r="F34" s="301">
        <v>21.0</v>
      </c>
      <c r="G34" s="302">
        <v>4.0</v>
      </c>
      <c r="H34" s="301">
        <v>15.0</v>
      </c>
      <c r="I34" s="302">
        <v>6.0</v>
      </c>
      <c r="J34" s="303">
        <v>22.0</v>
      </c>
      <c r="K34" s="302">
        <v>12.0</v>
      </c>
      <c r="L34" s="36" t="s">
        <v>314</v>
      </c>
      <c r="M34" s="295"/>
    </row>
    <row r="35">
      <c r="A35" s="298" t="s">
        <v>304</v>
      </c>
      <c r="B35" s="299">
        <v>851.0</v>
      </c>
      <c r="C35" s="300" t="s">
        <v>57</v>
      </c>
      <c r="D35" s="301">
        <v>10.0</v>
      </c>
      <c r="E35" s="302">
        <v>15.0</v>
      </c>
      <c r="F35" s="301">
        <v>7.0</v>
      </c>
      <c r="G35" s="302">
        <v>13.0</v>
      </c>
      <c r="H35" s="301">
        <v>6.0</v>
      </c>
      <c r="I35" s="302">
        <v>7.0</v>
      </c>
      <c r="J35" s="303">
        <v>10.0</v>
      </c>
      <c r="K35" s="302">
        <v>12.0</v>
      </c>
      <c r="M35" s="295"/>
    </row>
    <row r="36">
      <c r="A36" s="298" t="s">
        <v>309</v>
      </c>
      <c r="B36" s="299">
        <v>771.0</v>
      </c>
      <c r="C36" s="300" t="s">
        <v>58</v>
      </c>
      <c r="D36" s="301">
        <v>31.0</v>
      </c>
      <c r="E36" s="302">
        <v>24.0</v>
      </c>
      <c r="F36" s="301">
        <v>17.0</v>
      </c>
      <c r="G36" s="302">
        <v>17.0</v>
      </c>
      <c r="H36" s="301">
        <v>35.0</v>
      </c>
      <c r="I36" s="302">
        <v>22.0</v>
      </c>
      <c r="J36" s="303">
        <v>40.0</v>
      </c>
      <c r="K36" s="302">
        <v>30.0</v>
      </c>
      <c r="M36" s="295"/>
    </row>
    <row r="37">
      <c r="A37" s="298" t="s">
        <v>306</v>
      </c>
      <c r="B37" s="299">
        <v>928.0</v>
      </c>
      <c r="C37" s="300" t="s">
        <v>60</v>
      </c>
      <c r="D37" s="301">
        <v>27.0</v>
      </c>
      <c r="E37" s="302">
        <v>25.0</v>
      </c>
      <c r="F37" s="301">
        <v>27.0</v>
      </c>
      <c r="G37" s="302">
        <v>26.0</v>
      </c>
      <c r="H37" s="301">
        <v>21.0</v>
      </c>
      <c r="I37" s="302">
        <v>20.0</v>
      </c>
      <c r="J37" s="303">
        <v>40.0</v>
      </c>
      <c r="K37" s="302">
        <v>38.0</v>
      </c>
      <c r="M37" s="295"/>
    </row>
    <row r="38">
      <c r="A38" s="298" t="s">
        <v>306</v>
      </c>
      <c r="B38" s="299">
        <v>741.0</v>
      </c>
      <c r="C38" s="300" t="s">
        <v>62</v>
      </c>
      <c r="D38" s="301">
        <v>13.0</v>
      </c>
      <c r="E38" s="302">
        <v>13.0</v>
      </c>
      <c r="F38" s="301">
        <v>10.0</v>
      </c>
      <c r="G38" s="302">
        <v>10.0</v>
      </c>
      <c r="H38" s="301">
        <v>9.0</v>
      </c>
      <c r="I38" s="302">
        <v>9.0</v>
      </c>
      <c r="J38" s="303">
        <v>15.0</v>
      </c>
      <c r="K38" s="302">
        <v>15.0</v>
      </c>
      <c r="M38" s="295"/>
    </row>
    <row r="39">
      <c r="A39" s="298" t="s">
        <v>309</v>
      </c>
      <c r="B39" s="299">
        <v>716.0</v>
      </c>
      <c r="C39" s="300" t="s">
        <v>63</v>
      </c>
      <c r="D39" s="301">
        <v>19.0</v>
      </c>
      <c r="E39" s="302">
        <v>20.0</v>
      </c>
      <c r="F39" s="301">
        <v>13.0</v>
      </c>
      <c r="G39" s="302">
        <v>13.0</v>
      </c>
      <c r="H39" s="301">
        <v>11.0</v>
      </c>
      <c r="I39" s="302">
        <v>11.0</v>
      </c>
      <c r="J39" s="303">
        <v>20.0</v>
      </c>
      <c r="K39" s="302">
        <v>19.0</v>
      </c>
      <c r="M39" s="295"/>
    </row>
    <row r="40">
      <c r="A40" s="298" t="s">
        <v>306</v>
      </c>
      <c r="B40" s="299">
        <v>765.0</v>
      </c>
      <c r="C40" s="300" t="s">
        <v>64</v>
      </c>
      <c r="D40" s="301">
        <v>16.0</v>
      </c>
      <c r="E40" s="302">
        <v>15.0</v>
      </c>
      <c r="F40" s="301">
        <v>7.0</v>
      </c>
      <c r="G40" s="302">
        <v>7.0</v>
      </c>
      <c r="H40" s="301">
        <v>9.0</v>
      </c>
      <c r="I40" s="302">
        <v>9.0</v>
      </c>
      <c r="J40" s="303">
        <v>13.0</v>
      </c>
      <c r="K40" s="302">
        <v>14.0</v>
      </c>
      <c r="M40" s="295"/>
    </row>
    <row r="41">
      <c r="A41" s="298" t="s">
        <v>306</v>
      </c>
      <c r="B41" s="299">
        <v>728.0</v>
      </c>
      <c r="C41" s="300" t="s">
        <v>65</v>
      </c>
      <c r="D41" s="301">
        <v>12.0</v>
      </c>
      <c r="E41" s="302">
        <v>11.0</v>
      </c>
      <c r="F41" s="301">
        <v>7.0</v>
      </c>
      <c r="G41" s="302">
        <v>7.0</v>
      </c>
      <c r="H41" s="301">
        <v>10.0</v>
      </c>
      <c r="I41" s="302">
        <v>10.0</v>
      </c>
      <c r="J41" s="303">
        <v>19.0</v>
      </c>
      <c r="K41" s="302">
        <v>17.0</v>
      </c>
      <c r="M41" s="295"/>
    </row>
    <row r="42">
      <c r="A42" s="298" t="s">
        <v>307</v>
      </c>
      <c r="B42" s="299">
        <v>877.0</v>
      </c>
      <c r="C42" s="300" t="s">
        <v>66</v>
      </c>
      <c r="D42" s="301">
        <v>16.0</v>
      </c>
      <c r="E42" s="302">
        <v>17.0</v>
      </c>
      <c r="F42" s="301">
        <v>16.0</v>
      </c>
      <c r="G42" s="302">
        <v>15.0</v>
      </c>
      <c r="H42" s="301">
        <v>21.0</v>
      </c>
      <c r="I42" s="302">
        <v>18.0</v>
      </c>
      <c r="J42" s="305">
        <v>95.0</v>
      </c>
      <c r="K42" s="305">
        <v>35.0</v>
      </c>
      <c r="L42" s="36" t="s">
        <v>315</v>
      </c>
      <c r="M42" s="295"/>
    </row>
    <row r="43">
      <c r="A43" s="298" t="s">
        <v>273</v>
      </c>
      <c r="B43" s="299">
        <v>897.0</v>
      </c>
      <c r="C43" s="300" t="s">
        <v>68</v>
      </c>
      <c r="D43" s="301">
        <v>17.0</v>
      </c>
      <c r="E43" s="302">
        <v>18.0</v>
      </c>
      <c r="F43" s="301">
        <v>14.0</v>
      </c>
      <c r="G43" s="302">
        <v>14.0</v>
      </c>
      <c r="H43" s="301">
        <v>10.0</v>
      </c>
      <c r="I43" s="302">
        <v>10.0</v>
      </c>
      <c r="J43" s="303">
        <v>15.0</v>
      </c>
      <c r="K43" s="302">
        <v>16.0</v>
      </c>
      <c r="M43" s="295"/>
    </row>
    <row r="44">
      <c r="A44" s="298" t="s">
        <v>305</v>
      </c>
      <c r="B44" s="299">
        <v>928.0</v>
      </c>
      <c r="C44" s="300" t="s">
        <v>69</v>
      </c>
      <c r="D44" s="301">
        <v>23.0</v>
      </c>
      <c r="E44" s="302">
        <v>25.0</v>
      </c>
      <c r="F44" s="301">
        <v>20.0</v>
      </c>
      <c r="G44" s="302">
        <v>19.0</v>
      </c>
      <c r="H44" s="301">
        <v>12.0</v>
      </c>
      <c r="I44" s="302">
        <v>10.0</v>
      </c>
      <c r="J44" s="303">
        <v>18.0</v>
      </c>
      <c r="K44" s="302">
        <v>17.0</v>
      </c>
      <c r="M44" s="295"/>
    </row>
    <row r="45">
      <c r="A45" s="298" t="s">
        <v>309</v>
      </c>
      <c r="B45" s="299">
        <v>903.0</v>
      </c>
      <c r="C45" s="300" t="s">
        <v>71</v>
      </c>
      <c r="D45" s="301">
        <v>26.0</v>
      </c>
      <c r="E45" s="302">
        <v>25.0</v>
      </c>
      <c r="F45" s="301">
        <v>12.0</v>
      </c>
      <c r="G45" s="302">
        <v>13.0</v>
      </c>
      <c r="H45" s="301">
        <v>11.0</v>
      </c>
      <c r="I45" s="302">
        <v>10.0</v>
      </c>
      <c r="J45" s="303">
        <v>14.0</v>
      </c>
      <c r="K45" s="302">
        <v>18.0</v>
      </c>
      <c r="M45" s="295"/>
    </row>
    <row r="46">
      <c r="A46" s="298" t="s">
        <v>306</v>
      </c>
      <c r="B46" s="299">
        <v>751.0</v>
      </c>
      <c r="C46" s="300" t="s">
        <v>73</v>
      </c>
      <c r="D46" s="301">
        <v>6.0</v>
      </c>
      <c r="E46" s="302">
        <v>6.0</v>
      </c>
      <c r="F46" s="301">
        <v>9.0</v>
      </c>
      <c r="G46" s="302">
        <v>8.0</v>
      </c>
      <c r="H46" s="301">
        <v>12.0</v>
      </c>
      <c r="I46" s="302">
        <v>8.0</v>
      </c>
      <c r="J46" s="303">
        <v>12.0</v>
      </c>
      <c r="K46" s="302">
        <v>11.0</v>
      </c>
      <c r="M46" s="295"/>
    </row>
    <row r="47">
      <c r="A47" s="298" t="s">
        <v>305</v>
      </c>
      <c r="B47" s="299">
        <v>855.0</v>
      </c>
      <c r="C47" s="300" t="s">
        <v>74</v>
      </c>
      <c r="D47" s="301">
        <v>20.0</v>
      </c>
      <c r="E47" s="302">
        <v>19.0</v>
      </c>
      <c r="F47" s="301">
        <v>14.0</v>
      </c>
      <c r="G47" s="302">
        <v>14.0</v>
      </c>
      <c r="H47" s="301">
        <v>17.0</v>
      </c>
      <c r="I47" s="302">
        <v>12.0</v>
      </c>
      <c r="J47" s="303">
        <v>32.0</v>
      </c>
      <c r="K47" s="302">
        <v>21.0</v>
      </c>
      <c r="M47" s="295"/>
    </row>
    <row r="48">
      <c r="A48" s="298" t="s">
        <v>306</v>
      </c>
      <c r="B48" s="299">
        <v>754.0</v>
      </c>
      <c r="C48" s="300" t="s">
        <v>76</v>
      </c>
      <c r="D48" s="301">
        <v>24.0</v>
      </c>
      <c r="E48" s="302">
        <v>20.0</v>
      </c>
      <c r="F48" s="301">
        <v>14.0</v>
      </c>
      <c r="G48" s="302">
        <v>13.0</v>
      </c>
      <c r="H48" s="301">
        <v>10.0</v>
      </c>
      <c r="I48" s="302">
        <v>9.0</v>
      </c>
      <c r="J48" s="305">
        <v>47.0</v>
      </c>
      <c r="K48" s="305">
        <v>28.0</v>
      </c>
      <c r="M48" s="295"/>
    </row>
    <row r="49">
      <c r="A49" s="298" t="s">
        <v>305</v>
      </c>
      <c r="B49" s="299">
        <v>834.0</v>
      </c>
      <c r="C49" s="300" t="s">
        <v>78</v>
      </c>
      <c r="D49" s="301">
        <v>14.0</v>
      </c>
      <c r="E49" s="302">
        <v>18.0</v>
      </c>
      <c r="F49" s="301">
        <v>17.0</v>
      </c>
      <c r="G49" s="302">
        <v>19.0</v>
      </c>
      <c r="H49" s="301">
        <v>17.0</v>
      </c>
      <c r="I49" s="302">
        <v>13.0</v>
      </c>
      <c r="J49" s="303">
        <v>9.0</v>
      </c>
      <c r="K49" s="302">
        <v>15.0</v>
      </c>
      <c r="M49" s="295"/>
    </row>
    <row r="50">
      <c r="A50" s="298" t="s">
        <v>273</v>
      </c>
      <c r="B50" s="299">
        <v>851.0</v>
      </c>
      <c r="C50" s="300" t="s">
        <v>79</v>
      </c>
      <c r="D50" s="308">
        <v>18.0</v>
      </c>
      <c r="E50" s="306">
        <v>28.0</v>
      </c>
      <c r="F50" s="301">
        <v>18.0</v>
      </c>
      <c r="G50" s="302">
        <v>25.0</v>
      </c>
      <c r="H50" s="301">
        <v>14.0</v>
      </c>
      <c r="I50" s="302">
        <v>26.0</v>
      </c>
      <c r="J50" s="306">
        <v>19.0</v>
      </c>
      <c r="K50" s="306">
        <v>38.0</v>
      </c>
      <c r="L50" s="77" t="s">
        <v>316</v>
      </c>
      <c r="M50" s="295"/>
    </row>
    <row r="51">
      <c r="A51" s="298" t="s">
        <v>273</v>
      </c>
      <c r="B51" s="299">
        <v>719.0</v>
      </c>
      <c r="C51" s="300" t="s">
        <v>81</v>
      </c>
      <c r="D51" s="304">
        <v>32.0</v>
      </c>
      <c r="E51" s="305">
        <v>18.0</v>
      </c>
      <c r="F51" s="304">
        <v>26.0</v>
      </c>
      <c r="G51" s="305">
        <v>16.0</v>
      </c>
      <c r="H51" s="301">
        <v>33.0</v>
      </c>
      <c r="I51" s="302">
        <v>11.0</v>
      </c>
      <c r="J51" s="303">
        <v>47.0</v>
      </c>
      <c r="K51" s="302">
        <v>16.0</v>
      </c>
      <c r="L51" s="77" t="s">
        <v>317</v>
      </c>
    </row>
    <row r="52">
      <c r="A52" s="309" t="s">
        <v>307</v>
      </c>
      <c r="B52" s="299">
        <v>866.0</v>
      </c>
      <c r="C52" s="310" t="s">
        <v>83</v>
      </c>
      <c r="D52" s="301">
        <v>22.0</v>
      </c>
      <c r="E52" s="302">
        <v>26.0</v>
      </c>
      <c r="F52" s="301">
        <v>25.0</v>
      </c>
      <c r="G52" s="302">
        <v>28.0</v>
      </c>
      <c r="H52" s="301">
        <v>35.0</v>
      </c>
      <c r="I52" s="302">
        <v>16.0</v>
      </c>
      <c r="J52" s="305">
        <v>48.0</v>
      </c>
      <c r="K52" s="305">
        <v>27.0</v>
      </c>
    </row>
    <row r="53">
      <c r="A53" s="311" t="s">
        <v>318</v>
      </c>
      <c r="B53" s="6"/>
      <c r="C53" s="7"/>
      <c r="D53" s="312">
        <v>28.0</v>
      </c>
      <c r="E53" s="313">
        <v>26.0</v>
      </c>
      <c r="F53" s="312">
        <v>19.0</v>
      </c>
      <c r="G53" s="313">
        <v>19.0</v>
      </c>
      <c r="H53" s="312">
        <v>21.0</v>
      </c>
      <c r="I53" s="313">
        <v>18.0</v>
      </c>
      <c r="J53" s="312">
        <v>30.0</v>
      </c>
      <c r="K53" s="313">
        <v>27.0</v>
      </c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</row>
    <row r="54">
      <c r="A54" s="102"/>
      <c r="B54" s="102"/>
      <c r="C54" s="102"/>
    </row>
    <row r="55">
      <c r="A55" s="102"/>
      <c r="B55" s="102"/>
      <c r="C55" s="102"/>
    </row>
    <row r="56">
      <c r="A56" s="102"/>
      <c r="B56" s="102"/>
      <c r="C56" s="102"/>
    </row>
    <row r="57">
      <c r="A57" s="102"/>
      <c r="B57" s="102"/>
      <c r="C57" s="102"/>
    </row>
    <row r="58">
      <c r="A58" s="102"/>
      <c r="B58" s="102"/>
      <c r="C58" s="102"/>
    </row>
    <row r="59">
      <c r="A59" s="102"/>
      <c r="B59" s="102"/>
      <c r="C59" s="102"/>
    </row>
    <row r="60">
      <c r="A60" s="102"/>
      <c r="B60" s="102"/>
      <c r="C60" s="102"/>
    </row>
    <row r="61">
      <c r="A61" s="102"/>
      <c r="B61" s="102"/>
      <c r="C61" s="102"/>
    </row>
    <row r="62">
      <c r="A62" s="102"/>
      <c r="B62" s="102"/>
      <c r="C62" s="102"/>
    </row>
    <row r="63">
      <c r="A63" s="102"/>
      <c r="B63" s="102"/>
      <c r="C63" s="102"/>
    </row>
    <row r="64">
      <c r="A64" s="102"/>
      <c r="B64" s="102"/>
      <c r="C64" s="102"/>
    </row>
    <row r="65">
      <c r="A65" s="102"/>
      <c r="B65" s="102"/>
      <c r="C65" s="102"/>
    </row>
    <row r="66">
      <c r="A66" s="102"/>
      <c r="B66" s="102"/>
      <c r="C66" s="102"/>
    </row>
    <row r="67">
      <c r="A67" s="102"/>
      <c r="B67" s="102"/>
      <c r="C67" s="102"/>
    </row>
    <row r="68">
      <c r="A68" s="102"/>
      <c r="B68" s="102"/>
      <c r="C68" s="102"/>
    </row>
    <row r="69">
      <c r="A69" s="102"/>
      <c r="B69" s="102"/>
      <c r="C69" s="102"/>
    </row>
  </sheetData>
  <mergeCells count="9">
    <mergeCell ref="C14:C16"/>
    <mergeCell ref="A53:C53"/>
    <mergeCell ref="A14:A16"/>
    <mergeCell ref="B14:B16"/>
    <mergeCell ref="D14:K14"/>
    <mergeCell ref="D16:E16"/>
    <mergeCell ref="F16:G16"/>
    <mergeCell ref="H16:I16"/>
    <mergeCell ref="J16:K16"/>
  </mergeCells>
  <drawing r:id="rId1"/>
</worksheet>
</file>