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of tables&amp; definitions" sheetId="1" r:id="rId4"/>
    <sheet state="visible" name="A.Table 1 - source" sheetId="2" r:id="rId5"/>
    <sheet state="visible" name="B.Table 1 Ctry-sch-t-enrol-PTR-" sheetId="3" r:id="rId6"/>
    <sheet state="visible" name="C.Table 2 Stwise-sch-t-singt-r-" sheetId="4" r:id="rId7"/>
    <sheet state="visible" name="D.Data-sheet-statewise-chapter1" sheetId="5" r:id="rId8"/>
    <sheet state="visible" name="E.ch1-Table2 statewise-schoolda" sheetId="6" r:id="rId9"/>
    <sheet state="visible" name="F.Table 3 PTR" sheetId="7" r:id="rId10"/>
    <sheet state="visible" name="Table 4 Stwise-tch profile" sheetId="8" r:id="rId11"/>
    <sheet state="visible" name="Table 5a Part-time tchr" sheetId="9" r:id="rId12"/>
    <sheet state="visible" name="Table 5 Stwise-contract-tchr" sheetId="10" r:id="rId13"/>
    <sheet state="visible" name="Table 6 School infrastructure" sheetId="11" r:id="rId14"/>
    <sheet state="visible" name="Contract teachers -govtdistrict" sheetId="12" r:id="rId15"/>
    <sheet state="visible" name="Table 7 Overall summary" sheetId="13" r:id="rId16"/>
    <sheet state="visible" name="Table 8 Aspirational districts" sheetId="14" r:id="rId17"/>
    <sheet state="visible" name="Old - working sheet for referen" sheetId="15" r:id="rId18"/>
    <sheet state="visible" name="Charts 1" sheetId="16" r:id="rId19"/>
    <sheet state="visible" name="Charts 2" sheetId="17" r:id="rId20"/>
  </sheets>
  <definedNames>
    <definedName hidden="1" localSheetId="4" name="_xlnm._FilterDatabase">'D.Data-sheet-statewise-chapter1'!$A$5:$BZ$45</definedName>
    <definedName hidden="1" localSheetId="5" name="_xlnm._FilterDatabase">'E.ch1-Table2 statewise-schoolda'!$A$2:$O$39</definedName>
    <definedName hidden="1" localSheetId="3" name="Z_91824D0F_ED94_49AF_81A1_6E1DCECF46F4_.wvu.FilterData">'C.Table 2 Stwise-sch-t-singt-r-'!$A$5:$CT$46</definedName>
  </definedNames>
  <calcPr/>
  <customWorkbookViews>
    <customWorkbookView activeSheetId="0" maximized="1" windowHeight="0" windowWidth="0" guid="{91824D0F-ED94-49AF-81A1-6E1DCECF46F4}" name="Filter 1"/>
  </customWorkbookViews>
  <extLst>
    <ext uri="GoogleSheetsCustomDataVersion2">
      <go:sheetsCustomData xmlns:go="http://customooxmlschemas.google.com/" r:id="rId21" roundtripDataChecksum="O46iQ2Gmz1m7Hcpp3o7oc10WaHEXekBcLSSz09Ge29Y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3">
      <text>
        <t xml:space="preserve">======
ID#AAAAxe56N4I
tc={65BE1BC4-D201-4090-9E9D-C85726DFD455}    (2023-05-22 04:49:06)
[Threaded comment]
Your version of Excel allows you to read this threaded comment; however, any edits to it will get removed if the file is opened in a newer version of Excel. Learn more: https://go.microsoft.com/fwlink/?linkid=870924
Comment:
    Includes pre-primary enrollment as well.</t>
      </text>
    </comment>
  </commentList>
  <extLst>
    <ext uri="GoogleSheetsCustomDataVersion2">
      <go:sheetsCustomData xmlns:go="http://customooxmlschemas.google.com/" r:id="rId1" roundtripDataSignature="AMtx7miQxCb4BDKx6eYwjOhU2HA2F0/mSQ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3">
      <text>
        <t xml:space="preserve">======
ID#AAAA0j5SXbI
Aditi Desai    (2023-06-28 04:04:55)
Please note this is based on UDISE+ microdata, there is a minor discrepancy between these numbers and the ones reported by the UDISE+ dashboard/report.</t>
      </text>
    </comment>
  </commentList>
  <extLst>
    <ext uri="GoogleSheetsCustomDataVersion2">
      <go:sheetsCustomData xmlns:go="http://customooxmlschemas.google.com/" r:id="rId1" roundtripDataSignature="AMtx7mjyf5uCf0zADER3NSbrmuSpG9ykgA=="/>
    </ext>
  </extLst>
</comments>
</file>

<file path=xl/sharedStrings.xml><?xml version="1.0" encoding="utf-8"?>
<sst xmlns="http://schemas.openxmlformats.org/spreadsheetml/2006/main" count="2489" uniqueCount="913">
  <si>
    <t>List of tables</t>
  </si>
  <si>
    <t>UDISE 2021-22 data</t>
  </si>
  <si>
    <t>Table 1:All India: Schools, student enrollment, teachers, mean school size, Pupil-Teacher Ratio (all India)</t>
  </si>
  <si>
    <t>Table 2: State-wise distribution of schools, teachers, single teacher schools</t>
  </si>
  <si>
    <t>Table 3: Pupil-Teacher Ratio</t>
  </si>
  <si>
    <t>Table 4: State-wise teacher profile: social profile and qualifications</t>
  </si>
  <si>
    <t>Table 5: State-wise employment status of teachers with a focus on contract teachers</t>
  </si>
  <si>
    <t>Table 6: State-wise school infrastructure</t>
  </si>
  <si>
    <t>Table 7: Overall summary (2018-19 and 2021-22)</t>
  </si>
  <si>
    <t>Table 8: Key parameters for aspirational districts</t>
  </si>
  <si>
    <t xml:space="preserve">Definitions: </t>
  </si>
  <si>
    <t>By level 1. Elementary: a. Primary only with grades 1 to 5 (UDISE+ code: 1) and b. Upper Primary with grades 1 to 8 (UDISE+ code: 2), 2. Composite: a. Higher Secondary with grades 1 to 12 (UDISE+ code: 3), b. Secondary/Sr. Sec. with grades 1 to 10 (UDISE+ code: 6), and 3. Secondary/Senior Secondary: a. Upper Primary only with grades 6 to 8 (UDISE+ code: 4), b. Higher Secondary with grades 6 to 12 (UDISE+ code: 5), c. Secondary/Sr. Sec. with grades 6 to 10 (UDISE+ code: 7), d. Secondary/Sr. Sec. only with grades 9 &amp; 10 (UDISE+ code: 8), e. Higher Secondary with grades 9 to 12 (UDISE+ code: 10) and f. Hr. Sec. /Jr. College only with grades 11 &amp; 12 (UDISE+ code: 11).</t>
  </si>
  <si>
    <t>By management type 1. Government: a. Department of Education (UDISE+ code: 1), b. Local Body (UDISE+ code: 3), c. Other State Govt. Managed (UDISE+ code: 6), 2. Government (other): a. Tribal Welfare Department (UDISE+ code: 2), b. Minority Affairs Dept. (UDISE+ code: 7), c. Social Welfare Department (UDISE+ code: 90), d. Ministry of Labour (UDISE+ code: 91), e. Kendriya Vidyalaya (UDISE+ code: 92), f. Jawahar Navodaya Vidyalaya (UDISE+ code: 93), g. Sainik School (UDISE+ code: 94), h. Railway School (UDISE+ code: 95), i. Central Tibetan School (UDISE+ code: 96), j. Other Central Govt./PSU Schools (UDISE+ code: 101), 3. Government Aided: Government Aided (UDISE+ code: 4), 4. Private: Private Unaided (Recognized) (UDISE+ code: 5), 5. Madrasas (recognized): Madarsa Private and Aided (Recognized) (UDISE+ code: 97), and 5. Unrecognized: a. Unrecognized (UDISE+ code: 8) and b. Madarsa Unrecognized (UDISE+ code: 98).</t>
  </si>
  <si>
    <t>code1</t>
  </si>
  <si>
    <t>Govt Dept of Education</t>
  </si>
  <si>
    <t>1+3+6</t>
  </si>
  <si>
    <t>code2</t>
  </si>
  <si>
    <t>Tribal Welfare Dept</t>
  </si>
  <si>
    <t>code3</t>
  </si>
  <si>
    <t>Govt. Local Body</t>
  </si>
  <si>
    <t>code4</t>
  </si>
  <si>
    <t>Govt aided</t>
  </si>
  <si>
    <t>code5</t>
  </si>
  <si>
    <t>Private unaided recognised</t>
  </si>
  <si>
    <t>code6</t>
  </si>
  <si>
    <t>code7</t>
  </si>
  <si>
    <t>Minority Affiars</t>
  </si>
  <si>
    <t>code8</t>
  </si>
  <si>
    <t>Unrecognised</t>
  </si>
  <si>
    <t>code9</t>
  </si>
  <si>
    <t>code10</t>
  </si>
  <si>
    <t>code11</t>
  </si>
  <si>
    <t>code12</t>
  </si>
  <si>
    <t>code13</t>
  </si>
  <si>
    <t>code14</t>
  </si>
  <si>
    <t>code15</t>
  </si>
  <si>
    <t>code16</t>
  </si>
  <si>
    <t>Department of Education</t>
  </si>
  <si>
    <t>Government</t>
  </si>
  <si>
    <t>Tribal Welfare Department</t>
  </si>
  <si>
    <t xml:space="preserve">Government Other </t>
  </si>
  <si>
    <t>Local body</t>
  </si>
  <si>
    <t>Government Aided</t>
  </si>
  <si>
    <t>Aided</t>
  </si>
  <si>
    <t>Private Unaided (Recognized)</t>
  </si>
  <si>
    <t>Private recognised</t>
  </si>
  <si>
    <t>Other Govt. managed schools</t>
  </si>
  <si>
    <t>Minority Affairs</t>
  </si>
  <si>
    <t>Unrecognized</t>
  </si>
  <si>
    <t>Social welfare Department</t>
  </si>
  <si>
    <t>Ministry of Labor</t>
  </si>
  <si>
    <t>Kendriya Vidyalaya / Central School</t>
  </si>
  <si>
    <t>Jawahar Navodaya Vidyalaya</t>
  </si>
  <si>
    <t>Sainik School</t>
  </si>
  <si>
    <t>Railway School</t>
  </si>
  <si>
    <t>Central Tibetan School</t>
  </si>
  <si>
    <t>Madarsa recognized (by Wakf board/Madarsa Board)</t>
  </si>
  <si>
    <t>Madarsa Recognised</t>
  </si>
  <si>
    <t>Madarsa unrecognized</t>
  </si>
  <si>
    <t>Madarsa Unrecognised</t>
  </si>
  <si>
    <t>Other Central Govt. Schools</t>
  </si>
  <si>
    <t>Table 1</t>
  </si>
  <si>
    <t>Number of schools, students, teachers in schools</t>
  </si>
  <si>
    <t>Management type</t>
  </si>
  <si>
    <t>Number of schools</t>
  </si>
  <si>
    <t>Number of students</t>
  </si>
  <si>
    <t>Number of teachers</t>
  </si>
  <si>
    <t>Total</t>
  </si>
  <si>
    <t>Rural</t>
  </si>
  <si>
    <t>Urban</t>
  </si>
  <si>
    <t>Elementary (I to V, I to VIII)</t>
  </si>
  <si>
    <t>Composite (I to XII, I to X)</t>
  </si>
  <si>
    <t>Secondary/Senior Secondary (VI to XII, VI to X, VI to VIII, IX to X, IX to XII, XI to XII)</t>
  </si>
  <si>
    <t>Government (other)</t>
  </si>
  <si>
    <t>Private</t>
  </si>
  <si>
    <t>Madrasas (recognized)</t>
  </si>
  <si>
    <t xml:space="preserve">% of all schools </t>
  </si>
  <si>
    <t xml:space="preserve">% whichare government </t>
  </si>
  <si>
    <t>Table 1a: summary</t>
  </si>
  <si>
    <t>% which are government other</t>
  </si>
  <si>
    <t>schools</t>
  </si>
  <si>
    <t>teachers</t>
  </si>
  <si>
    <t>students</t>
  </si>
  <si>
    <t>% which are aided</t>
  </si>
  <si>
    <t>% which are private</t>
  </si>
  <si>
    <t>% rural of total</t>
  </si>
  <si>
    <t>% of govt rural</t>
  </si>
  <si>
    <t xml:space="preserve">avg size of govt rural school: </t>
  </si>
  <si>
    <t>avg size of private urban school:</t>
  </si>
  <si>
    <t>% of private rural</t>
  </si>
  <si>
    <t>Schools</t>
  </si>
  <si>
    <t>Elementary</t>
  </si>
  <si>
    <t>Composite</t>
  </si>
  <si>
    <t>Secondary/Senior Secondary</t>
  </si>
  <si>
    <t>Teachers</t>
  </si>
  <si>
    <t>Students</t>
  </si>
  <si>
    <t xml:space="preserve"> </t>
  </si>
  <si>
    <t>PTR</t>
  </si>
  <si>
    <t>Overall</t>
  </si>
  <si>
    <t>Table 1: Schools, student enrollment, teachers, mean school size, Pupil-Teacher Ratio (all India)</t>
  </si>
  <si>
    <t>Student enrollment</t>
  </si>
  <si>
    <t>Mean school size</t>
  </si>
  <si>
    <t>Pupil-Teacher Ratio</t>
  </si>
  <si>
    <t>% elementary</t>
  </si>
  <si>
    <t>% composite</t>
  </si>
  <si>
    <t>% sec/SrSec</t>
  </si>
  <si>
    <t>student enrolment</t>
  </si>
  <si>
    <t>Number of women teachers</t>
  </si>
  <si>
    <t>Single teacher schools</t>
  </si>
  <si>
    <t xml:space="preserve">Students </t>
  </si>
  <si>
    <t>Location</t>
  </si>
  <si>
    <t>PGI 2020-21</t>
  </si>
  <si>
    <t>State/Union territory</t>
  </si>
  <si>
    <t>Number of government school, rural</t>
  </si>
  <si>
    <t>Number of private school, rural</t>
  </si>
  <si>
    <t xml:space="preserve">proportion of all students </t>
  </si>
  <si>
    <t>proportion of state's students in rural areas</t>
  </si>
  <si>
    <t>?</t>
  </si>
  <si>
    <t>proportion of all teachers</t>
  </si>
  <si>
    <t>gross PTR</t>
  </si>
  <si>
    <t>%rural</t>
  </si>
  <si>
    <t>% of all teachers in govt school</t>
  </si>
  <si>
    <t>Government, rural</t>
  </si>
  <si>
    <t>% rural of govt teachers</t>
  </si>
  <si>
    <t>% all teachers in aided schools</t>
  </si>
  <si>
    <t>% of all teachers in private school</t>
  </si>
  <si>
    <t>difference govt-pvt</t>
  </si>
  <si>
    <t>Private, rural</t>
  </si>
  <si>
    <t>% rural of private school teachers</t>
  </si>
  <si>
    <t>%women teachers</t>
  </si>
  <si>
    <t>Total women teachers</t>
  </si>
  <si>
    <t>% govt school teachers who are women</t>
  </si>
  <si>
    <t>% of private school teachers who are women</t>
  </si>
  <si>
    <t>% points difference in proportion of women in private vs government schools</t>
  </si>
  <si>
    <t>% proporton of all woemn in private sector</t>
  </si>
  <si>
    <t>Percent of total schools</t>
  </si>
  <si>
    <t>Total single teacher schools</t>
  </si>
  <si>
    <t xml:space="preserve">% of govt schools that are single teacher </t>
  </si>
  <si>
    <t>% of single teacher schools that are government</t>
  </si>
  <si>
    <t>% of all single teacher schools in rural areas</t>
  </si>
  <si>
    <t>Govt single teacher schools in rural areas</t>
  </si>
  <si>
    <t>% govt. single teacher schools in rural areas</t>
  </si>
  <si>
    <t>Primary only</t>
  </si>
  <si>
    <t>Primary only - government</t>
  </si>
  <si>
    <t>%(AT/G)</t>
  </si>
  <si>
    <t>%(AT/AS)</t>
  </si>
  <si>
    <t>UT</t>
  </si>
  <si>
    <t>Andaman &amp; Nicobar Islands</t>
  </si>
  <si>
    <t>S</t>
  </si>
  <si>
    <t>Andhra Pradesh</t>
  </si>
  <si>
    <t>NE</t>
  </si>
  <si>
    <t>Arunachal Pradesh</t>
  </si>
  <si>
    <t>Assam</t>
  </si>
  <si>
    <t>E</t>
  </si>
  <si>
    <t>Bihar</t>
  </si>
  <si>
    <t>W</t>
  </si>
  <si>
    <t>Chandigarh</t>
  </si>
  <si>
    <t>Chhattisgarh</t>
  </si>
  <si>
    <t>Dadra &amp; Nagar Haveli and Daman &amp; Diu</t>
  </si>
  <si>
    <t>N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</si>
  <si>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</si>
  <si>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</si>
  <si>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</si>
  <si>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</si>
  <si>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</si>
  <si>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</si>
  <si>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</si>
  <si>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</si>
  <si>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</si>
  <si>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</si>
  <si>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</si>
  <si>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</si>
  <si>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</si>
  <si>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</si>
  <si>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</si>
  <si>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</si>
  <si>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</si>
  <si>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</si>
  <si>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</si>
  <si>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</si>
  <si>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</si>
  <si>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</si>
  <si>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Tamilnadu</t>
  </si>
  <si>
    <t>Telangana</t>
  </si>
  <si>
    <t>Tripura</t>
  </si>
  <si>
    <t>Uttar Pradesh</t>
  </si>
  <si>
    <t>Uttarakhand</t>
  </si>
  <si>
    <t>West Bengal</t>
  </si>
  <si>
    <t>% of women in workforce (govt schools)</t>
  </si>
  <si>
    <t>enrolment data needs verification</t>
  </si>
  <si>
    <t>adequacy</t>
  </si>
  <si>
    <t>% of woemn in privarte schools</t>
  </si>
  <si>
    <t>% of women govt school teachers in rural areas:</t>
  </si>
  <si>
    <t>% of women private school teachers in rural areas</t>
  </si>
  <si>
    <t>% rural</t>
  </si>
  <si>
    <t>% government</t>
  </si>
  <si>
    <t>% government aided</t>
  </si>
  <si>
    <t>% private</t>
  </si>
  <si>
    <t>location</t>
  </si>
  <si>
    <t>State/Union Territory</t>
  </si>
  <si>
    <t>C</t>
  </si>
  <si>
    <t>Table 2: State-wise distribution of schools</t>
  </si>
  <si>
    <t>Region</t>
  </si>
  <si>
    <t>PGI (2020-2021)</t>
  </si>
  <si>
    <t>Total Schools</t>
  </si>
  <si>
    <t>% Elementary</t>
  </si>
  <si>
    <t>% Composite</t>
  </si>
  <si>
    <t>% Sec/Sr. Sec</t>
  </si>
  <si>
    <t>% govt single teacher schools in rural areas</t>
  </si>
  <si>
    <t>% single teacher schools in rural areas</t>
  </si>
  <si>
    <t>PTR source: UDISE dashboard</t>
  </si>
  <si>
    <t>Average PTR (school-level)</t>
  </si>
  <si>
    <t>Total number of schools in the state</t>
  </si>
  <si>
    <t>Number of schools with PTR&gt;35</t>
  </si>
  <si>
    <t>Number of schools with PTR&lt;30</t>
  </si>
  <si>
    <t>Average school size if PTR&gt;35</t>
  </si>
  <si>
    <t>Average school size if PTR&lt;30</t>
  </si>
  <si>
    <t>Average school size if PTR&gt;=30 or PTR&lt;=35</t>
  </si>
  <si>
    <t>Primary (1-5)</t>
  </si>
  <si>
    <t>Upper Primary (6-8)</t>
  </si>
  <si>
    <t>Secondary (9-10)</t>
  </si>
  <si>
    <t>Higher Secondary (11-12)</t>
  </si>
  <si>
    <t>Government - elementary</t>
  </si>
  <si>
    <t>Government - composite</t>
  </si>
  <si>
    <t>Government - secondary</t>
  </si>
  <si>
    <t>Private - elementary</t>
  </si>
  <si>
    <t>Private - composite</t>
  </si>
  <si>
    <t>Private - secondary</t>
  </si>
  <si>
    <t>Government aided - composite</t>
  </si>
  <si>
    <t xml:space="preserve">Government Aided </t>
  </si>
  <si>
    <t>Secondary</t>
  </si>
  <si>
    <t>NA</t>
  </si>
  <si>
    <t>.</t>
  </si>
  <si>
    <t>Table 4: State-wise teacher profile: social profile and qualifications (tentative and shifted to main sheet as 2.3.1</t>
  </si>
  <si>
    <t>Female teachers</t>
  </si>
  <si>
    <t>Social category</t>
  </si>
  <si>
    <t>Below graduate teachers</t>
  </si>
  <si>
    <t>Graduate teachers</t>
  </si>
  <si>
    <t>Post-graduate teachers</t>
  </si>
  <si>
    <t>Teachers with diploma</t>
  </si>
  <si>
    <t>Teachers with B.Ed or equivalent</t>
  </si>
  <si>
    <t>Teachers with B.El.Ed</t>
  </si>
  <si>
    <t>Teachers with M.Ed or equivalent</t>
  </si>
  <si>
    <t>Other professional qualification</t>
  </si>
  <si>
    <t>No professional qualification</t>
  </si>
  <si>
    <t>Number of teachers in private schools with specific qualifications</t>
  </si>
  <si>
    <t>govt</t>
  </si>
  <si>
    <t>private</t>
  </si>
  <si>
    <t>General</t>
  </si>
  <si>
    <t>SC</t>
  </si>
  <si>
    <t>ST</t>
  </si>
  <si>
    <t>OBC</t>
  </si>
  <si>
    <t>ORC</t>
  </si>
  <si>
    <t>Other</t>
  </si>
  <si>
    <t>Govt-General</t>
  </si>
  <si>
    <t>Govt-SC</t>
  </si>
  <si>
    <t>Govt-ST</t>
  </si>
  <si>
    <t>Govt-OBC</t>
  </si>
  <si>
    <t>Private-General</t>
  </si>
  <si>
    <t>Private-SC</t>
  </si>
  <si>
    <t>Private-ST</t>
  </si>
  <si>
    <t>Private-OBC</t>
  </si>
  <si>
    <t>%teachers with no professional qualifications</t>
  </si>
  <si>
    <t>proportion in rural areas</t>
  </si>
  <si>
    <t>proportion of unqualified teachers in private</t>
  </si>
  <si>
    <t>Diploma</t>
  </si>
  <si>
    <t>B.El.Ed</t>
  </si>
  <si>
    <t>B.Ed</t>
  </si>
  <si>
    <t>M.Ed</t>
  </si>
  <si>
    <t>Teachers with no qualifications</t>
  </si>
  <si>
    <t>Category</t>
  </si>
  <si>
    <t>% of total teachers with no qualifications in each category</t>
  </si>
  <si>
    <t>Total teachers</t>
  </si>
  <si>
    <t>Kendriya Vidyalaya</t>
  </si>
  <si>
    <t>Elementary - primary only</t>
  </si>
  <si>
    <t>School managment/level</t>
  </si>
  <si>
    <t>Sl No</t>
  </si>
  <si>
    <t>States/Union Territory</t>
  </si>
  <si>
    <t>Total Teachers</t>
  </si>
  <si>
    <t>Total Govt Teachers</t>
  </si>
  <si>
    <t>Total Private Teachers</t>
  </si>
  <si>
    <t>Total Govt Aided Teachers</t>
  </si>
  <si>
    <t>Total Part Time</t>
  </si>
  <si>
    <t>%Total</t>
  </si>
  <si>
    <t>Male</t>
  </si>
  <si>
    <t>Female</t>
  </si>
  <si>
    <t>% Female</t>
  </si>
  <si>
    <t>Part-time - Govt</t>
  </si>
  <si>
    <t>%Govt</t>
  </si>
  <si>
    <t>Part time - Private</t>
  </si>
  <si>
    <t>%Private</t>
  </si>
  <si>
    <t>Part time - Govt Aided</t>
  </si>
  <si>
    <t>% Govt Aided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</si>
  <si>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</si>
  <si>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</si>
  <si>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</si>
  <si>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</si>
  <si>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</si>
  <si>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</si>
  <si>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</si>
  <si>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</si>
  <si>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</si>
  <si>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</si>
  <si>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</si>
  <si>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</si>
  <si>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</si>
  <si>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</si>
  <si>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</si>
  <si>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</si>
  <si>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</si>
  <si>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</si>
  <si>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</si>
  <si>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</si>
  <si>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</si>
  <si>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</si>
  <si>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</si>
  <si>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</si>
  <si>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</si>
  <si>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</si>
  <si>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</si>
  <si>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</si>
  <si>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</si>
  <si>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</si>
  <si>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</si>
  <si>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</si>
  <si>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</si>
  <si>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</si>
  <si>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</si>
  <si>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</si>
  <si>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Regular teachers</t>
  </si>
  <si>
    <t>Part-time teachers</t>
  </si>
  <si>
    <t>Contract teachers (total)</t>
  </si>
  <si>
    <t>% of Contract teachers</t>
  </si>
  <si>
    <t xml:space="preserve">Total </t>
  </si>
  <si>
    <t>% female</t>
  </si>
  <si>
    <t xml:space="preserve">Male </t>
  </si>
  <si>
    <t>% of total teachers</t>
  </si>
  <si>
    <t>female</t>
  </si>
  <si>
    <t>Government/Total contract tchrs</t>
  </si>
  <si>
    <t>%Rural</t>
  </si>
  <si>
    <t>%elementary</t>
  </si>
  <si>
    <t>%secondary</t>
  </si>
  <si>
    <t>District with minimum contract teachers - overall</t>
  </si>
  <si>
    <t>District with maximum contract teachers - overall</t>
  </si>
  <si>
    <t>District with minimum contract teachers - government</t>
  </si>
  <si>
    <t>Contract teachers in district with minimum</t>
  </si>
  <si>
    <t>District with maximum contract teachers - government</t>
  </si>
  <si>
    <t>Contract teachers in district with maximum</t>
  </si>
  <si>
    <t>% government contract teachers in the selected aspirational district ie % of all government contract teachers in the district/total number of government teachers in that district</t>
  </si>
  <si>
    <t>Total government teachers in the district with maximum govt. contract teachers</t>
  </si>
  <si>
    <t>number of contract teachers in elementary school</t>
  </si>
  <si>
    <t>number of contract teachers in secondary school</t>
  </si>
  <si>
    <t>Nicobars</t>
  </si>
  <si>
    <t>Andamans</t>
  </si>
  <si>
    <t>Middle &amp; North</t>
  </si>
  <si>
    <t>Nellore</t>
  </si>
  <si>
    <t>Kadapa</t>
  </si>
  <si>
    <t>Krishna</t>
  </si>
  <si>
    <t>Anantapur</t>
  </si>
  <si>
    <t>Dibang Valley</t>
  </si>
  <si>
    <t>Changlang</t>
  </si>
  <si>
    <t>Shi Yomi</t>
  </si>
  <si>
    <t>Papum Pare</t>
  </si>
  <si>
    <t>Bajali</t>
  </si>
  <si>
    <t>West Karbi Anglong</t>
  </si>
  <si>
    <t>Cachar</t>
  </si>
  <si>
    <t>Darbhanga</t>
  </si>
  <si>
    <t>Siwan</t>
  </si>
  <si>
    <t>Many districts have reported 0 contract teachers in government schools.</t>
  </si>
  <si>
    <t>Khagaria</t>
  </si>
  <si>
    <t>Narayanpur</t>
  </si>
  <si>
    <t>Bilaspur</t>
  </si>
  <si>
    <t>Mahasamund</t>
  </si>
  <si>
    <t>Bijapur</t>
  </si>
  <si>
    <t>Diu</t>
  </si>
  <si>
    <t>Dadra &amp; Nagar Haveli</t>
  </si>
  <si>
    <t>Daman</t>
  </si>
  <si>
    <t>New Delhi</t>
  </si>
  <si>
    <t>North West B</t>
  </si>
  <si>
    <t>North East</t>
  </si>
  <si>
    <t>North Goa</t>
  </si>
  <si>
    <t>South Goa</t>
  </si>
  <si>
    <t>North Goa (n=226)</t>
  </si>
  <si>
    <t>Aravalli</t>
  </si>
  <si>
    <t>Rajkot</t>
  </si>
  <si>
    <t>Banas Kantha</t>
  </si>
  <si>
    <t>Mahendragarh</t>
  </si>
  <si>
    <t>Hisar</t>
  </si>
  <si>
    <t>Charkhi Dadri</t>
  </si>
  <si>
    <t>Nuh</t>
  </si>
  <si>
    <t>Lahaul &amp; Spiti</t>
  </si>
  <si>
    <t>Kangra</t>
  </si>
  <si>
    <t>Kinnaur</t>
  </si>
  <si>
    <t>Shimla</t>
  </si>
  <si>
    <t>Shopian</t>
  </si>
  <si>
    <t>Udhampur</t>
  </si>
  <si>
    <t>Kupwara</t>
  </si>
  <si>
    <t>Lohardaga</t>
  </si>
  <si>
    <t>Giridih</t>
  </si>
  <si>
    <t>Benguluru Rural</t>
  </si>
  <si>
    <t>Benguluru Urban South</t>
  </si>
  <si>
    <t>Udupi/Chikkamanguluru</t>
  </si>
  <si>
    <t>Thrissur</t>
  </si>
  <si>
    <t>Malappuram</t>
  </si>
  <si>
    <t>Kottayam</t>
  </si>
  <si>
    <t>Leh</t>
  </si>
  <si>
    <t>Kargil</t>
  </si>
  <si>
    <t>Morena</t>
  </si>
  <si>
    <t>Damoh</t>
  </si>
  <si>
    <t>Jabalpur</t>
  </si>
  <si>
    <t>Sindhudurg</t>
  </si>
  <si>
    <t>Pune</t>
  </si>
  <si>
    <t>Mumbai-II</t>
  </si>
  <si>
    <t>Mumbai Suburban</t>
  </si>
  <si>
    <t>Kamjong</t>
  </si>
  <si>
    <t>Imphal East</t>
  </si>
  <si>
    <t>Jiribam</t>
  </si>
  <si>
    <t>South West Garo</t>
  </si>
  <si>
    <t>East Khasi Hills</t>
  </si>
  <si>
    <t xml:space="preserve">HNAHTHIAL </t>
  </si>
  <si>
    <t>Aizawl</t>
  </si>
  <si>
    <t>Mokokchung</t>
  </si>
  <si>
    <t>Tuensang</t>
  </si>
  <si>
    <t>Longleng</t>
  </si>
  <si>
    <t>Dimapur</t>
  </si>
  <si>
    <t>Deogarh</t>
  </si>
  <si>
    <t>Mayurbhanj</t>
  </si>
  <si>
    <t>Yanam</t>
  </si>
  <si>
    <t>Pondicherry</t>
  </si>
  <si>
    <t>Mahe/Yanam</t>
  </si>
  <si>
    <t>Fatehgarh Sahib/Nawanshahr</t>
  </si>
  <si>
    <t>Ludhiana</t>
  </si>
  <si>
    <t>Malerkotla</t>
  </si>
  <si>
    <t>Amritsar</t>
  </si>
  <si>
    <t>Sirohi</t>
  </si>
  <si>
    <t>Jaipur</t>
  </si>
  <si>
    <t>Bundi/Chittorgarh</t>
  </si>
  <si>
    <t>Barmer</t>
  </si>
  <si>
    <t>Mangan</t>
  </si>
  <si>
    <t>Namchi</t>
  </si>
  <si>
    <t>Nilgiris</t>
  </si>
  <si>
    <t>Chengalpattu</t>
  </si>
  <si>
    <t>Thuttookkudi</t>
  </si>
  <si>
    <t>Cuddalore</t>
  </si>
  <si>
    <t>Medchal</t>
  </si>
  <si>
    <t>Hyderabad</t>
  </si>
  <si>
    <t>Nizamabad</t>
  </si>
  <si>
    <t>Unakoti</t>
  </si>
  <si>
    <t>Dhalai</t>
  </si>
  <si>
    <t>Mahoba</t>
  </si>
  <si>
    <t>Bijnor</t>
  </si>
  <si>
    <t>Bagpat</t>
  </si>
  <si>
    <t>Hardoi</t>
  </si>
  <si>
    <t>Rudraprayag</t>
  </si>
  <si>
    <t>Hardwar</t>
  </si>
  <si>
    <t>Udham Singh Nagar</t>
  </si>
  <si>
    <t>Nainital</t>
  </si>
  <si>
    <t>Kalimpong</t>
  </si>
  <si>
    <t>Murshidabad</t>
  </si>
  <si>
    <t>Contract teachers (special categories)</t>
  </si>
  <si>
    <t>% contract teachers of total in each category</t>
  </si>
  <si>
    <t>Contract teachers</t>
  </si>
  <si>
    <t>Total     518111</t>
  </si>
  <si>
    <t>High occurrence of contract teachers in government</t>
  </si>
  <si>
    <t>State</t>
  </si>
  <si>
    <t>total contract teachers</t>
  </si>
  <si>
    <t>% contract teachers</t>
  </si>
  <si>
    <t>total govt teachers</t>
  </si>
  <si>
    <t>Total  - government contract teachers</t>
  </si>
  <si>
    <t>% govt school teachers who are contractual</t>
  </si>
  <si>
    <t>% of contractual teachers who are in government schools</t>
  </si>
  <si>
    <t>% govt contract teachers in rural schools</t>
  </si>
  <si>
    <t>elementary schools</t>
  </si>
  <si>
    <t>% govt contract teachers in ele schools</t>
  </si>
  <si>
    <t>govt composite schools</t>
  </si>
  <si>
    <t>% govt contract teachers in comp schools</t>
  </si>
  <si>
    <t>govt mid/sec/srsec schools</t>
  </si>
  <si>
    <t>% govt contract teahcers in middle/sec/srsec schools</t>
  </si>
  <si>
    <t>E/D</t>
  </si>
  <si>
    <t>H/G</t>
  </si>
  <si>
    <t>H/E</t>
  </si>
  <si>
    <t>K/H</t>
  </si>
  <si>
    <t>M/H</t>
  </si>
  <si>
    <t>Andaman and Nicobar Islands</t>
  </si>
  <si>
    <t>Dadra and Nagar Haveli and Daman and Diu</t>
  </si>
  <si>
    <t>Total schools</t>
  </si>
  <si>
    <t>Availability of library (only libraries are counted)</t>
  </si>
  <si>
    <t>Availability of computing device (laptop/desktop/tablets)</t>
  </si>
  <si>
    <t>Availability of ICT lab</t>
  </si>
  <si>
    <t>Availability of internet</t>
  </si>
  <si>
    <t>Availability of ramps</t>
  </si>
  <si>
    <t>Availability of ramps and handrails</t>
  </si>
  <si>
    <t>Availability of functional drinking water</t>
  </si>
  <si>
    <t>Availability of functional boys toilets</t>
  </si>
  <si>
    <t>Availability of functional girls toilet</t>
  </si>
  <si>
    <t>Access by road</t>
  </si>
  <si>
    <t>Availability of working electricity</t>
  </si>
  <si>
    <t>All classrooms in good condition</t>
  </si>
  <si>
    <t>Visits by academic supervisor (CRC or BRC or DEO)</t>
  </si>
  <si>
    <t>%libraries</t>
  </si>
  <si>
    <t>%computing devices</t>
  </si>
  <si>
    <t>%internet</t>
  </si>
  <si>
    <t>%ramps</t>
  </si>
  <si>
    <t>%ramps and handrails</t>
  </si>
  <si>
    <t>%functional drinking water</t>
  </si>
  <si>
    <t>%functional boys toilets</t>
  </si>
  <si>
    <t>%functional girls toilet</t>
  </si>
  <si>
    <t>%total</t>
  </si>
  <si>
    <t>%working electricity</t>
  </si>
  <si>
    <t>%classrooms in good condition</t>
  </si>
  <si>
    <t>%visits by academic supervisor</t>
  </si>
  <si>
    <t>District</t>
  </si>
  <si>
    <t>Number of contract teachers in government schools</t>
  </si>
  <si>
    <t>BAJALI</t>
  </si>
  <si>
    <t>ARARIA</t>
  </si>
  <si>
    <t>BALOD</t>
  </si>
  <si>
    <t xml:space="preserve">BOKARO |      </t>
  </si>
  <si>
    <t>BAGALKOT</t>
  </si>
  <si>
    <t>AHMADNAGAR</t>
  </si>
  <si>
    <t>AIZAWL</t>
  </si>
  <si>
    <t>ANGUL</t>
  </si>
  <si>
    <t>AMRITSAR</t>
  </si>
  <si>
    <t>ADILABAD</t>
  </si>
  <si>
    <t>BAKSA</t>
  </si>
  <si>
    <t>ARWAL</t>
  </si>
  <si>
    <t>BALODABAZAR</t>
  </si>
  <si>
    <t>CHATRA |</t>
  </si>
  <si>
    <t>BALLARI</t>
  </si>
  <si>
    <t>AKOLA</t>
  </si>
  <si>
    <t>CHAMPHAI</t>
  </si>
  <si>
    <t>BALASORE</t>
  </si>
  <si>
    <t>BARNALA</t>
  </si>
  <si>
    <t>BHADRADRI KOTHAG</t>
  </si>
  <si>
    <t>BARPETA</t>
  </si>
  <si>
    <t>AURANGABAD (BIHA</t>
  </si>
  <si>
    <t>BALRAMPUR</t>
  </si>
  <si>
    <t>DEOGHAR |</t>
  </si>
  <si>
    <t>BELAGAVI</t>
  </si>
  <si>
    <t>AMRAVATI</t>
  </si>
  <si>
    <t>HNAHTHIAL</t>
  </si>
  <si>
    <t>BARAGARH</t>
  </si>
  <si>
    <t>BATHINDA</t>
  </si>
  <si>
    <t>HANUMAKONDA</t>
  </si>
  <si>
    <t>BISWANATH</t>
  </si>
  <si>
    <t>BANKA</t>
  </si>
  <si>
    <t>BASTER</t>
  </si>
  <si>
    <t>DHANBAD |</t>
  </si>
  <si>
    <t>BELAGAVI CHIKKOD</t>
  </si>
  <si>
    <t>AURANGABAD (MAHA</t>
  </si>
  <si>
    <t>KHAWZAWL</t>
  </si>
  <si>
    <t>BHADRAK</t>
  </si>
  <si>
    <t>FARIDKOT</t>
  </si>
  <si>
    <t>HYDERABAD</t>
  </si>
  <si>
    <t>BONGAIGAON</t>
  </si>
  <si>
    <t>BEGUSARAI</t>
  </si>
  <si>
    <t>BEMETARA</t>
  </si>
  <si>
    <t>DUMKA |</t>
  </si>
  <si>
    <t>BENGALURU RURAL</t>
  </si>
  <si>
    <t>BHANDARA</t>
  </si>
  <si>
    <t>KOLASIB</t>
  </si>
  <si>
    <t>BOLANGIR</t>
  </si>
  <si>
    <t>FATEHGARH SAHIB</t>
  </si>
  <si>
    <t>JAGTIAL</t>
  </si>
  <si>
    <t>CACHAR</t>
  </si>
  <si>
    <t>BHAGALPUR</t>
  </si>
  <si>
    <t>BIJAPUR</t>
  </si>
  <si>
    <t>GARHWA |</t>
  </si>
  <si>
    <t>BENGALURU U NORT</t>
  </si>
  <si>
    <t>BID</t>
  </si>
  <si>
    <t>LAWNGTLAI</t>
  </si>
  <si>
    <t>BOUDH</t>
  </si>
  <si>
    <t>FAZILKA</t>
  </si>
  <si>
    <t>JANGAON</t>
  </si>
  <si>
    <t>CHARAIDEO</t>
  </si>
  <si>
    <t>BHOJPUR</t>
  </si>
  <si>
    <t>BILASPUR</t>
  </si>
  <si>
    <t>GIRIDIH |</t>
  </si>
  <si>
    <t>BENGALURU U SOUT</t>
  </si>
  <si>
    <t>BULDANA</t>
  </si>
  <si>
    <t>LUNGLEI</t>
  </si>
  <si>
    <t>CUTTACK</t>
  </si>
  <si>
    <t>FIROZPUR</t>
  </si>
  <si>
    <t>JAYASHANKAR</t>
  </si>
  <si>
    <t>CHIRANG</t>
  </si>
  <si>
    <t>BUXAR</t>
  </si>
  <si>
    <t>DANTEWADA</t>
  </si>
  <si>
    <t>GODDA |</t>
  </si>
  <si>
    <t>BIDAR</t>
  </si>
  <si>
    <t>CHANDRAPUR</t>
  </si>
  <si>
    <t>MAMIT</t>
  </si>
  <si>
    <t>DEOGARH</t>
  </si>
  <si>
    <t>GURDASPUR</t>
  </si>
  <si>
    <t>JOGULAMBA GADWAL</t>
  </si>
  <si>
    <t>DARRANG</t>
  </si>
  <si>
    <t>DARBHANGA</t>
  </si>
  <si>
    <t>DHAMTARI</t>
  </si>
  <si>
    <t>GUMLA |</t>
  </si>
  <si>
    <t>CHAMARAJANAGARA</t>
  </si>
  <si>
    <t>DHULE</t>
  </si>
  <si>
    <t>SAIHA</t>
  </si>
  <si>
    <t>DHENKANAL</t>
  </si>
  <si>
    <t>HOSHIARPUR</t>
  </si>
  <si>
    <t>KAMAREDDY</t>
  </si>
  <si>
    <t>DHEMAJI</t>
  </si>
  <si>
    <t>GAYA</t>
  </si>
  <si>
    <t>DURG</t>
  </si>
  <si>
    <t>HAZARIBAG |</t>
  </si>
  <si>
    <t>CHIKKABALLAPURA</t>
  </si>
  <si>
    <t>GADCHIROLI</t>
  </si>
  <si>
    <t>SAITUAL</t>
  </si>
  <si>
    <t>GAJAPATI</t>
  </si>
  <si>
    <t>JALANDHAR</t>
  </si>
  <si>
    <t>KARIMNAGAR</t>
  </si>
  <si>
    <t>DHUBRI</t>
  </si>
  <si>
    <t>GOPALGANJ</t>
  </si>
  <si>
    <t>GARIABAND</t>
  </si>
  <si>
    <t>JAMTARA |</t>
  </si>
  <si>
    <t>CHIKKAMANGALURU</t>
  </si>
  <si>
    <t>GONDIYA</t>
  </si>
  <si>
    <t>SERCHHIP</t>
  </si>
  <si>
    <t>GANJAM</t>
  </si>
  <si>
    <t>KAPURTHALA</t>
  </si>
  <si>
    <t>KHAMMAM</t>
  </si>
  <si>
    <t>DIBRUGARH</t>
  </si>
  <si>
    <t>JAMUI</t>
  </si>
  <si>
    <t>GOURELA PENDRA M</t>
  </si>
  <si>
    <t>KHUNTI |</t>
  </si>
  <si>
    <t>CHITRADURGA</t>
  </si>
  <si>
    <t>HINGOLI</t>
  </si>
  <si>
    <t>JAGATSINGHPUR</t>
  </si>
  <si>
    <t>LUDHIANA</t>
  </si>
  <si>
    <t>KUMURAM BHEEM AS</t>
  </si>
  <si>
    <t>DIMA HASAO</t>
  </si>
  <si>
    <t>JEHANABAD</t>
  </si>
  <si>
    <t>JANJGIR - CHAMPA</t>
  </si>
  <si>
    <t>KODARMA |</t>
  </si>
  <si>
    <t>DAKSHINA KANNADA</t>
  </si>
  <si>
    <t>JALGAON</t>
  </si>
  <si>
    <t>JAJPUR</t>
  </si>
  <si>
    <t>MALERKOTLA</t>
  </si>
  <si>
    <t>MAHABUBABAD</t>
  </si>
  <si>
    <t>GOALPARA</t>
  </si>
  <si>
    <t>KAIMUR (BHABUA)</t>
  </si>
  <si>
    <t>JASHPUR</t>
  </si>
  <si>
    <t>LATEHAR |</t>
  </si>
  <si>
    <t>DAVANAGERE</t>
  </si>
  <si>
    <t>JALNA</t>
  </si>
  <si>
    <t>JHARSUGUDA</t>
  </si>
  <si>
    <t>MANSA</t>
  </si>
  <si>
    <t>MAHABUBNAGAR</t>
  </si>
  <si>
    <t>GOLAGHAT</t>
  </si>
  <si>
    <t>KATIHAR</t>
  </si>
  <si>
    <t>KANKER</t>
  </si>
  <si>
    <t>LOHARDAGA |</t>
  </si>
  <si>
    <t>DHARWAD</t>
  </si>
  <si>
    <t>KOLHAPUR</t>
  </si>
  <si>
    <t>KALAHANDI</t>
  </si>
  <si>
    <t>MOGA</t>
  </si>
  <si>
    <t>MANCHERIAL</t>
  </si>
  <si>
    <t>HAILAKANDI</t>
  </si>
  <si>
    <t>KHAGARIA</t>
  </si>
  <si>
    <t>KAWARDHA</t>
  </si>
  <si>
    <t>PAKAUR |</t>
  </si>
  <si>
    <t>GADAG</t>
  </si>
  <si>
    <t>LATUR</t>
  </si>
  <si>
    <t>KANDHAMAL</t>
  </si>
  <si>
    <t>MOHALI</t>
  </si>
  <si>
    <t>MEDAK</t>
  </si>
  <si>
    <t>HOJAI</t>
  </si>
  <si>
    <t>KISHANGANJ</t>
  </si>
  <si>
    <t>KONDAGAON</t>
  </si>
  <si>
    <t>PALAMU |</t>
  </si>
  <si>
    <t>HASSAN</t>
  </si>
  <si>
    <t>MUMBAI (SUBURBAN</t>
  </si>
  <si>
    <t>KENDRAPARA</t>
  </si>
  <si>
    <t>MUKTSAR</t>
  </si>
  <si>
    <t>MEDCHAL</t>
  </si>
  <si>
    <t>JORHAT</t>
  </si>
  <si>
    <t>LAKHISARAI</t>
  </si>
  <si>
    <t>KORBA</t>
  </si>
  <si>
    <t>PASHCHIMI SINGHB |</t>
  </si>
  <si>
    <t>HAVERI</t>
  </si>
  <si>
    <t>MUMBAI II</t>
  </si>
  <si>
    <t>KEONJHAR</t>
  </si>
  <si>
    <t>NAWANSHAHR</t>
  </si>
  <si>
    <t>MULUGU</t>
  </si>
  <si>
    <t>KAMRUP-METRO</t>
  </si>
  <si>
    <t>MADHEPURA</t>
  </si>
  <si>
    <t>KORIYA</t>
  </si>
  <si>
    <t>PURBI SINGHBHUM |</t>
  </si>
  <si>
    <t>KALBURGI</t>
  </si>
  <si>
    <t>NAGPUR</t>
  </si>
  <si>
    <t>KHURDHA</t>
  </si>
  <si>
    <t>PATHANKOT</t>
  </si>
  <si>
    <t>NAGARKURNOOL</t>
  </si>
  <si>
    <t>KAMRUP-RURAL</t>
  </si>
  <si>
    <t>MADHUBANI</t>
  </si>
  <si>
    <t>MAHASAMUND</t>
  </si>
  <si>
    <t>RAMGARH |</t>
  </si>
  <si>
    <t>KODAGU</t>
  </si>
  <si>
    <t>NANDED</t>
  </si>
  <si>
    <t>KORAPUT</t>
  </si>
  <si>
    <t>PATIALA</t>
  </si>
  <si>
    <t>NALGONDA</t>
  </si>
  <si>
    <t>KARBI ANGLONG</t>
  </si>
  <si>
    <t>MUNGER</t>
  </si>
  <si>
    <t>MUNGELI</t>
  </si>
  <si>
    <t>RANCHI |</t>
  </si>
  <si>
    <t>KOLAR</t>
  </si>
  <si>
    <t>NANDURBAR</t>
  </si>
  <si>
    <t>MALKANGIRI</t>
  </si>
  <si>
    <t>RUPNAGAR</t>
  </si>
  <si>
    <t>NARAYANAPET</t>
  </si>
  <si>
    <t>KARIMGANJ</t>
  </si>
  <si>
    <t>MUZAFFARPUR</t>
  </si>
  <si>
    <t>NARAYANPUR</t>
  </si>
  <si>
    <t>SAHIBGANJ |</t>
  </si>
  <si>
    <t>KOPPAL</t>
  </si>
  <si>
    <t>NASHIK</t>
  </si>
  <si>
    <t>MAYURBHANJ</t>
  </si>
  <si>
    <t>SANGRUR</t>
  </si>
  <si>
    <t>NIRMAL</t>
  </si>
  <si>
    <t>KOKRAJHAR</t>
  </si>
  <si>
    <t>NALANDA</t>
  </si>
  <si>
    <t>RAIGARH</t>
  </si>
  <si>
    <t>SARAIKELA-KHARSA |</t>
  </si>
  <si>
    <t>MANDYA</t>
  </si>
  <si>
    <t>OSMANABAD</t>
  </si>
  <si>
    <t>NABARANGPUR</t>
  </si>
  <si>
    <t>TARAN TARAN</t>
  </si>
  <si>
    <t>NIZAMABAD</t>
  </si>
  <si>
    <t>LAKHIMPUR</t>
  </si>
  <si>
    <t>NAWADA</t>
  </si>
  <si>
    <t>RAIPUR</t>
  </si>
  <si>
    <t>SIMDEGA |</t>
  </si>
  <si>
    <t>MYSURU</t>
  </si>
  <si>
    <t>PALGHAR</t>
  </si>
  <si>
    <t>NAYAGARH</t>
  </si>
  <si>
    <t>PEDDAPALLI</t>
  </si>
  <si>
    <t>MAJULI</t>
  </si>
  <si>
    <t>PASHCHIM CHAMPAR</t>
  </si>
  <si>
    <t>RAJNANDGAON</t>
  </si>
  <si>
    <t>RAICHUR</t>
  </si>
  <si>
    <t>PARBHANI</t>
  </si>
  <si>
    <t>NUAPADA</t>
  </si>
  <si>
    <t>RAJANNA SIRICILL</t>
  </si>
  <si>
    <t>MORIGAON</t>
  </si>
  <si>
    <t>PATNA</t>
  </si>
  <si>
    <t>SUKMA</t>
  </si>
  <si>
    <t>RAMANAGARA</t>
  </si>
  <si>
    <t>PUNE</t>
  </si>
  <si>
    <t>PURI</t>
  </si>
  <si>
    <t>RANGAREDDY</t>
  </si>
  <si>
    <t>NAGAON</t>
  </si>
  <si>
    <t>PURBA CHAMPARAN</t>
  </si>
  <si>
    <t>SURAJPUR</t>
  </si>
  <si>
    <t>SHIVAMOGGA</t>
  </si>
  <si>
    <t>RAIGARH (MAHARAS</t>
  </si>
  <si>
    <t>RAYAGADA</t>
  </si>
  <si>
    <t>SANGAREDDY</t>
  </si>
  <si>
    <t>NALBARI</t>
  </si>
  <si>
    <t>PURNIA</t>
  </si>
  <si>
    <t>SURGUJA</t>
  </si>
  <si>
    <t>TUMAKURU</t>
  </si>
  <si>
    <t>RATNAGIRI</t>
  </si>
  <si>
    <t>SAMBALPUR</t>
  </si>
  <si>
    <t>SIDDIPET</t>
  </si>
  <si>
    <t>SIBSAGAR</t>
  </si>
  <si>
    <t>ROHTAS</t>
  </si>
  <si>
    <t>TUMAKURU MADHUGI</t>
  </si>
  <si>
    <t>SANGLI</t>
  </si>
  <si>
    <t>SONEPUR</t>
  </si>
  <si>
    <t>SURYAPET</t>
  </si>
  <si>
    <t>SONITPUR</t>
  </si>
  <si>
    <t>SAHARSA</t>
  </si>
  <si>
    <t>UDUPI</t>
  </si>
  <si>
    <t>SATARA</t>
  </si>
  <si>
    <t>SUNDERGARH</t>
  </si>
  <si>
    <t>VIKARABAD</t>
  </si>
  <si>
    <t>SOUTH SALMARA-MA</t>
  </si>
  <si>
    <t>SAMASTIPUR</t>
  </si>
  <si>
    <t>UTTARA KANNADA</t>
  </si>
  <si>
    <t>SINDHUDURG</t>
  </si>
  <si>
    <t>WANAPARTHY</t>
  </si>
  <si>
    <t>TAMULPUR</t>
  </si>
  <si>
    <t>SARAN</t>
  </si>
  <si>
    <t>UTTARA KANNADA S</t>
  </si>
  <si>
    <t>SOLAPUR</t>
  </si>
  <si>
    <t>WARANGAL</t>
  </si>
  <si>
    <t>TINSUKIA</t>
  </si>
  <si>
    <t>SHEIKHPURA</t>
  </si>
  <si>
    <t>VIJAYANAGARA</t>
  </si>
  <si>
    <t>THANE</t>
  </si>
  <si>
    <t>YADADRI BHUVANAG</t>
  </si>
  <si>
    <t>UDALGURI</t>
  </si>
  <si>
    <t>SHEOHAR</t>
  </si>
  <si>
    <t>VIJAYAPURA</t>
  </si>
  <si>
    <t>WARDHA</t>
  </si>
  <si>
    <t>WEST KARBI ANGLO</t>
  </si>
  <si>
    <t>SITAMARHI</t>
  </si>
  <si>
    <t>YADAGIRI</t>
  </si>
  <si>
    <t>WASHIM</t>
  </si>
  <si>
    <t>SIWAN</t>
  </si>
  <si>
    <t>YAVATMAL</t>
  </si>
  <si>
    <t>SUPAUL</t>
  </si>
  <si>
    <t>VAISHALI</t>
  </si>
  <si>
    <t>Statistic</t>
  </si>
  <si>
    <t>2021-22</t>
  </si>
  <si>
    <t>2018-19</t>
  </si>
  <si>
    <t>PTR (Primary)</t>
  </si>
  <si>
    <t>PTR (Upper Primary)</t>
  </si>
  <si>
    <t>PTR (Secondary)</t>
  </si>
  <si>
    <t>PTR (Higher Secondary)</t>
  </si>
  <si>
    <t>Professionally qualified teachers</t>
  </si>
  <si>
    <t>Single-teacher schools</t>
  </si>
  <si>
    <t>Schools with functional drinking water availability</t>
  </si>
  <si>
    <t>Schools with functional boys' toilets</t>
  </si>
  <si>
    <t>Schools with functional girls' toilets</t>
  </si>
  <si>
    <t>*PTRs mentioned here are taken from the UDISE+ reports for the respective years.</t>
  </si>
  <si>
    <t xml:space="preserve">Table  N1 : overall summary of schools location, tyoe and level </t>
  </si>
  <si>
    <t>By location</t>
  </si>
  <si>
    <t>By school type/levels</t>
  </si>
  <si>
    <t xml:space="preserve">Elementary </t>
  </si>
  <si>
    <t xml:space="preserve">Composite </t>
  </si>
  <si>
    <t xml:space="preserve">Secondary/Senior Secondary </t>
  </si>
  <si>
    <t>Average School size</t>
  </si>
  <si>
    <t>average overall school size</t>
  </si>
  <si>
    <t>average govt school size</t>
  </si>
  <si>
    <t>average pvt school size</t>
  </si>
  <si>
    <t>Pupil Teacher Ratio</t>
  </si>
  <si>
    <t>average PTR</t>
  </si>
  <si>
    <t>average govt school PTR</t>
  </si>
  <si>
    <t>average Pvt school PTR</t>
  </si>
  <si>
    <t>Average school size: total students /total schools; average PTR: total students/total teachers</t>
  </si>
  <si>
    <t>Elementary: I to V or I to VII/VIII; Composite: I to X/XII; Secondary/senior secondary: VI toX/ XII,  VI to VIII, IX to X/XII, XI to XII)</t>
  </si>
  <si>
    <t xml:space="preserve">Source: </t>
  </si>
  <si>
    <t>Working conditions</t>
  </si>
  <si>
    <t>%government</t>
  </si>
  <si>
    <t>%private</t>
  </si>
  <si>
    <t>%single teachers</t>
  </si>
  <si>
    <t>%female</t>
  </si>
  <si>
    <t>%contract</t>
  </si>
  <si>
    <t>Contract</t>
  </si>
  <si>
    <t>%graduate/postgraduate</t>
  </si>
  <si>
    <t>Sum of graduate and post-graduate</t>
  </si>
  <si>
    <t>Graduate</t>
  </si>
  <si>
    <t>Post-graduate</t>
  </si>
  <si>
    <t>%no professional qualifications</t>
  </si>
  <si>
    <t>No professional qualifications</t>
  </si>
  <si>
    <t>%roads</t>
  </si>
  <si>
    <t>Availability of  roads</t>
  </si>
  <si>
    <t>%drinking water</t>
  </si>
  <si>
    <t>%boys toilets</t>
  </si>
  <si>
    <t>%girls toilets</t>
  </si>
  <si>
    <t>Availability of functional girls toilets</t>
  </si>
  <si>
    <t>%electricity</t>
  </si>
  <si>
    <t>Availability of functional electricity</t>
  </si>
  <si>
    <t>Classrooms in good condition</t>
  </si>
  <si>
    <t>Availability of libraries</t>
  </si>
  <si>
    <t>Computing devices</t>
  </si>
  <si>
    <t>Internet</t>
  </si>
  <si>
    <t>%visit by academic supervisor</t>
  </si>
  <si>
    <t>Visit by academic supervisor</t>
  </si>
  <si>
    <t>Darrang</t>
  </si>
  <si>
    <t>Dhubri</t>
  </si>
  <si>
    <t>Kamrup-Metropolitan</t>
  </si>
  <si>
    <t>Kamrup-Rural</t>
  </si>
  <si>
    <t>Overall state</t>
  </si>
  <si>
    <t>Muzaffarpur</t>
  </si>
  <si>
    <t>Purnia</t>
  </si>
  <si>
    <t>Patna</t>
  </si>
  <si>
    <t>Korba</t>
  </si>
  <si>
    <t>Bastar</t>
  </si>
  <si>
    <t>Raipur</t>
  </si>
  <si>
    <t>Raichur</t>
  </si>
  <si>
    <t>Yadgir</t>
  </si>
  <si>
    <t>Bangalore Urban-North</t>
  </si>
  <si>
    <t>Bangalore Urban-South</t>
  </si>
  <si>
    <t>Nandurbar</t>
  </si>
  <si>
    <t>Gadchiroli</t>
  </si>
  <si>
    <t>Moga</t>
  </si>
  <si>
    <t>Firozpur</t>
  </si>
  <si>
    <t>Mohali</t>
  </si>
  <si>
    <t>Jayashankar Bhupalpally</t>
  </si>
  <si>
    <t>Bhadradri-Kothagudem</t>
  </si>
  <si>
    <t>Khammam</t>
  </si>
  <si>
    <t>Kolasib</t>
  </si>
  <si>
    <t>Mamit</t>
  </si>
  <si>
    <t>Teacher profile: employment status</t>
  </si>
  <si>
    <t>Regular</t>
  </si>
  <si>
    <t>Part-time</t>
  </si>
  <si>
    <t>% Government</t>
  </si>
  <si>
    <t>% Government (other)</t>
  </si>
  <si>
    <t>% Government Aided</t>
  </si>
  <si>
    <t>% Private</t>
  </si>
  <si>
    <t>% Madrasas (unrecognized)</t>
  </si>
  <si>
    <t>% Unrecognized</t>
  </si>
  <si>
    <t>% Rural</t>
  </si>
  <si>
    <t>% of total teachers who are contract</t>
  </si>
  <si>
    <t>Teacher: social profile</t>
  </si>
  <si>
    <t>Social profile</t>
  </si>
  <si>
    <t>%SC</t>
  </si>
  <si>
    <t>%ST</t>
  </si>
  <si>
    <t>%OBC</t>
  </si>
  <si>
    <t>Management type/level</t>
  </si>
  <si>
    <t>PTR&gt;1:35</t>
  </si>
  <si>
    <t>Type of school</t>
  </si>
  <si>
    <t>Government - rural</t>
  </si>
  <si>
    <t>Government - urban</t>
  </si>
  <si>
    <t>PTR&lt;1:30</t>
  </si>
  <si>
    <t>Elementary (1-5 and 1-8)</t>
  </si>
  <si>
    <t>Composite (1-10 and 1-12)</t>
  </si>
  <si>
    <t>Secondary/Senior Secondary (6-8, 6-10, 6-12, 9-10, 9-12, and 11-12)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</si>
</sst>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"/>
  </numFmts>
  <fonts count="29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sz val="11.0"/>
      <color rgb="FF000000"/>
      <name val="Calibri"/>
      <scheme val="minor"/>
    </font>
    <font>
      <color rgb="FF000000"/>
      <name val="Arial"/>
    </font>
    <font>
      <i/>
      <color rgb="FF000000"/>
      <name val="Arial"/>
    </font>
    <font>
      <sz val="14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/>
    <font>
      <sz val="9.0"/>
      <color rgb="FF000000"/>
      <name val="Calibri"/>
    </font>
    <font>
      <sz val="9.0"/>
      <color theme="1"/>
      <name val="Calibri"/>
      <scheme val="minor"/>
    </font>
    <font>
      <b/>
      <sz val="8.0"/>
      <color rgb="FF000000"/>
      <name val="Calibri"/>
    </font>
    <font>
      <b/>
      <sz val="11.0"/>
      <color theme="1"/>
      <name val="Calibri"/>
      <scheme val="minor"/>
    </font>
    <font>
      <b/>
      <sz val="9.0"/>
      <color rgb="FF000000"/>
      <name val="Calibri"/>
    </font>
    <font>
      <b/>
      <sz val="9.0"/>
      <color theme="1"/>
      <name val="Calibri"/>
      <scheme val="minor"/>
    </font>
    <font>
      <b/>
      <sz val="11.0"/>
      <color theme="1"/>
      <name val="Calibri"/>
    </font>
    <font>
      <b/>
      <sz val="9.0"/>
      <color theme="1"/>
      <name val="Calibri"/>
    </font>
    <font>
      <b/>
      <sz val="8.0"/>
      <color theme="1"/>
      <name val="Calibri"/>
    </font>
    <font>
      <b/>
      <sz val="7.0"/>
      <color theme="1"/>
      <name val="Calibri"/>
      <scheme val="minor"/>
    </font>
    <font>
      <sz val="7.0"/>
      <color theme="1"/>
      <name val="Calibri"/>
      <scheme val="minor"/>
    </font>
    <font>
      <b/>
      <sz val="6.0"/>
      <color theme="1"/>
      <name val="Calibri"/>
      <scheme val="minor"/>
    </font>
    <font>
      <sz val="7.0"/>
      <color rgb="FF000000"/>
      <name val="Calibri"/>
    </font>
    <font>
      <sz val="11.0"/>
      <color theme="1"/>
      <name val="Calibri"/>
    </font>
    <font>
      <b/>
      <sz val="8.0"/>
      <color theme="1"/>
      <name val="Calibri"/>
      <scheme val="minor"/>
    </font>
    <font>
      <sz val="11.0"/>
      <color rgb="FF1F1F1F"/>
      <name val="&quot;Google Sans&quot;"/>
    </font>
    <font>
      <b/>
      <color theme="1"/>
      <name val="Calibri"/>
    </font>
    <font>
      <color theme="1"/>
      <name val="Calibri"/>
    </font>
    <font>
      <b/>
      <sz val="11.0"/>
      <color rgb="FF000000"/>
      <name val="Calibri"/>
      <scheme val="minor"/>
    </font>
  </fonts>
  <fills count="2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4F7"/>
        <bgColor rgb="FFF2F4F7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9D2E9"/>
        <bgColor rgb="FFD9D2E9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1C232"/>
        <bgColor rgb="FFF1C232"/>
      </patternFill>
    </fill>
    <fill>
      <patternFill patternType="solid">
        <fgColor rgb="FF666666"/>
        <bgColor rgb="FF666666"/>
      </patternFill>
    </fill>
    <fill>
      <patternFill patternType="solid">
        <fgColor rgb="FFFCE5CD"/>
        <bgColor rgb="FFFCE5CD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434343"/>
        <bgColor rgb="FF434343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rgb="FFD0E0E3"/>
        <bgColor rgb="FFD0E0E3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  <fill>
      <patternFill patternType="solid">
        <fgColor rgb="FFFFC000"/>
        <bgColor rgb="FFFFC000"/>
      </patternFill>
    </fill>
    <fill>
      <patternFill patternType="solid">
        <fgColor rgb="FFFF9900"/>
        <bgColor rgb="FFFF9900"/>
      </patternFill>
    </fill>
  </fills>
  <borders count="19">
    <border/>
    <border>
      <right style="thin">
        <color rgb="FFFFFFFF"/>
      </right>
      <top style="thick">
        <color rgb="FF657BA3"/>
      </top>
    </border>
    <border>
      <right style="thin">
        <color rgb="FFFFFFFF"/>
      </right>
    </border>
    <border>
      <right style="thin">
        <color rgb="FFFFFFFF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horizontal="left" readingOrder="0"/>
    </xf>
    <xf borderId="0" fillId="0" fontId="3" numFmtId="0" xfId="0" applyAlignment="1" applyFont="1">
      <alignment readingOrder="0"/>
    </xf>
    <xf borderId="0" fillId="2" fontId="3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0" numFmtId="0" xfId="0" applyFont="1"/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1" numFmtId="0" xfId="0" applyFont="1"/>
    <xf borderId="1" fillId="3" fontId="6" numFmtId="0" xfId="0" applyAlignment="1" applyBorder="1" applyFill="1" applyFont="1">
      <alignment vertical="bottom"/>
    </xf>
    <xf borderId="2" fillId="3" fontId="6" numFmtId="0" xfId="0" applyAlignment="1" applyBorder="1" applyFont="1">
      <alignment vertical="bottom"/>
    </xf>
    <xf borderId="2" fillId="0" fontId="2" numFmtId="0" xfId="0" applyAlignment="1" applyBorder="1" applyFont="1">
      <alignment readingOrder="0"/>
    </xf>
    <xf borderId="3" fillId="3" fontId="6" numFmtId="0" xfId="0" applyAlignment="1" applyBorder="1" applyFont="1">
      <alignment vertical="bottom"/>
    </xf>
    <xf borderId="0" fillId="3" fontId="6" numFmtId="0" xfId="0" applyAlignment="1" applyFont="1">
      <alignment vertical="bottom"/>
    </xf>
    <xf borderId="0" fillId="0" fontId="7" numFmtId="0" xfId="0" applyAlignment="1" applyFont="1">
      <alignment horizontal="left" readingOrder="0" shrinkToFit="0" vertical="bottom" wrapText="0"/>
    </xf>
    <xf borderId="0" fillId="0" fontId="8" numFmtId="0" xfId="0" applyAlignment="1" applyFont="1">
      <alignment shrinkToFit="0" vertical="bottom" wrapText="0"/>
    </xf>
    <xf borderId="4" fillId="4" fontId="7" numFmtId="0" xfId="0" applyAlignment="1" applyBorder="1" applyFill="1" applyFont="1">
      <alignment readingOrder="0" shrinkToFit="0" vertical="bottom" wrapText="1"/>
    </xf>
    <xf borderId="5" fillId="4" fontId="7" numFmtId="0" xfId="0" applyAlignment="1" applyBorder="1" applyFont="1">
      <alignment horizontal="center" readingOrder="0" shrinkToFit="0" vertical="bottom" wrapText="0"/>
    </xf>
    <xf borderId="5" fillId="0" fontId="9" numFmtId="0" xfId="0" applyBorder="1" applyFont="1"/>
    <xf borderId="6" fillId="0" fontId="9" numFmtId="0" xfId="0" applyBorder="1" applyFont="1"/>
    <xf borderId="7" fillId="4" fontId="7" numFmtId="0" xfId="0" applyAlignment="1" applyBorder="1" applyFont="1">
      <alignment horizontal="center" readingOrder="0" shrinkToFit="0" vertical="bottom" wrapText="0"/>
    </xf>
    <xf borderId="8" fillId="0" fontId="9" numFmtId="0" xfId="0" applyBorder="1" applyFont="1"/>
    <xf borderId="9" fillId="5" fontId="7" numFmtId="0" xfId="0" applyAlignment="1" applyBorder="1" applyFill="1" applyFont="1">
      <alignment horizontal="center" readingOrder="0" shrinkToFit="0" vertical="bottom" wrapText="1"/>
    </xf>
    <xf borderId="9" fillId="5" fontId="7" numFmtId="0" xfId="0" applyAlignment="1" applyBorder="1" applyFont="1">
      <alignment readingOrder="0" shrinkToFit="0" vertical="bottom" wrapText="1"/>
    </xf>
    <xf borderId="8" fillId="5" fontId="7" numFmtId="0" xfId="0" applyAlignment="1" applyBorder="1" applyFont="1">
      <alignment readingOrder="0" shrinkToFit="0" vertical="bottom" wrapText="1"/>
    </xf>
    <xf borderId="10" fillId="5" fontId="7" numFmtId="0" xfId="0" applyAlignment="1" applyBorder="1" applyFont="1">
      <alignment readingOrder="0" shrinkToFit="0" vertical="bottom" wrapText="1"/>
    </xf>
    <xf borderId="0" fillId="0" fontId="0" numFmtId="0" xfId="0" applyAlignment="1" applyFont="1">
      <alignment shrinkToFit="0" wrapText="1"/>
    </xf>
    <xf borderId="8" fillId="0" fontId="8" numFmtId="0" xfId="0" applyAlignment="1" applyBorder="1" applyFont="1">
      <alignment readingOrder="0" shrinkToFit="0" vertical="bottom" wrapText="1"/>
    </xf>
    <xf borderId="10" fillId="0" fontId="0" numFmtId="3" xfId="0" applyAlignment="1" applyBorder="1" applyFont="1" applyNumberFormat="1">
      <alignment readingOrder="0"/>
    </xf>
    <xf borderId="9" fillId="0" fontId="8" numFmtId="3" xfId="0" applyAlignment="1" applyBorder="1" applyFont="1" applyNumberFormat="1">
      <alignment horizontal="right" readingOrder="0" shrinkToFit="0" vertical="bottom" wrapText="0"/>
    </xf>
    <xf borderId="9" fillId="0" fontId="8" numFmtId="3" xfId="0" applyAlignment="1" applyBorder="1" applyFont="1" applyNumberFormat="1">
      <alignment horizontal="right" readingOrder="0" vertical="bottom"/>
    </xf>
    <xf borderId="10" fillId="0" fontId="0" numFmtId="3" xfId="0" applyBorder="1" applyFont="1" applyNumberFormat="1"/>
    <xf borderId="8" fillId="0" fontId="8" numFmtId="3" xfId="0" applyAlignment="1" applyBorder="1" applyFont="1" applyNumberFormat="1">
      <alignment horizontal="right" readingOrder="0" shrinkToFit="0" vertical="bottom" wrapText="0"/>
    </xf>
    <xf borderId="10" fillId="0" fontId="2" numFmtId="3" xfId="0" applyAlignment="1" applyBorder="1" applyFont="1" applyNumberFormat="1">
      <alignment readingOrder="0"/>
    </xf>
    <xf borderId="10" fillId="0" fontId="2" numFmtId="3" xfId="0" applyBorder="1" applyFont="1" applyNumberFormat="1"/>
    <xf borderId="10" fillId="0" fontId="8" numFmtId="3" xfId="0" applyAlignment="1" applyBorder="1" applyFont="1" applyNumberFormat="1">
      <alignment horizontal="right" shrinkToFit="0" vertical="bottom" wrapText="0"/>
    </xf>
    <xf borderId="8" fillId="0" fontId="8" numFmtId="3" xfId="0" applyAlignment="1" applyBorder="1" applyFont="1" applyNumberFormat="1">
      <alignment horizontal="right" shrinkToFit="0" vertical="bottom" wrapText="0"/>
    </xf>
    <xf borderId="9" fillId="0" fontId="8" numFmtId="3" xfId="0" applyAlignment="1" applyBorder="1" applyFont="1" applyNumberFormat="1">
      <alignment horizontal="right" shrinkToFit="0" vertical="bottom" wrapText="0"/>
    </xf>
    <xf borderId="6" fillId="0" fontId="8" numFmtId="3" xfId="0" applyAlignment="1" applyBorder="1" applyFont="1" applyNumberFormat="1">
      <alignment horizontal="right" readingOrder="0" shrinkToFit="0" vertical="bottom" wrapText="0"/>
    </xf>
    <xf borderId="10" fillId="0" fontId="8" numFmtId="3" xfId="0" applyAlignment="1" applyBorder="1" applyFont="1" applyNumberFormat="1">
      <alignment horizontal="right" readingOrder="0" shrinkToFit="0" vertical="bottom" wrapText="0"/>
    </xf>
    <xf borderId="8" fillId="0" fontId="7" numFmtId="0" xfId="0" applyAlignment="1" applyBorder="1" applyFont="1">
      <alignment readingOrder="0" shrinkToFit="0" vertical="bottom" wrapText="0"/>
    </xf>
    <xf borderId="9" fillId="0" fontId="7" numFmtId="3" xfId="0" applyAlignment="1" applyBorder="1" applyFont="1" applyNumberFormat="1">
      <alignment horizontal="right" readingOrder="0" shrinkToFit="0" vertical="bottom" wrapText="0"/>
    </xf>
    <xf borderId="8" fillId="0" fontId="7" numFmtId="3" xfId="0" applyAlignment="1" applyBorder="1" applyFont="1" applyNumberFormat="1">
      <alignment horizontal="right" readingOrder="0" shrinkToFit="0" vertical="bottom" wrapText="0"/>
    </xf>
    <xf borderId="10" fillId="0" fontId="7" numFmtId="3" xfId="0" applyAlignment="1" applyBorder="1" applyFont="1" applyNumberFormat="1">
      <alignment horizontal="right" shrinkToFit="0" vertical="bottom" wrapText="0"/>
    </xf>
    <xf borderId="10" fillId="0" fontId="7" numFmtId="3" xfId="0" applyAlignment="1" applyBorder="1" applyFont="1" applyNumberFormat="1">
      <alignment horizontal="right" readingOrder="0" shrinkToFit="0" vertical="bottom" wrapText="0"/>
    </xf>
    <xf borderId="0" fillId="0" fontId="8" numFmtId="10" xfId="0" applyAlignment="1" applyFont="1" applyNumberFormat="1">
      <alignment shrinkToFit="0" vertical="bottom" wrapText="0"/>
    </xf>
    <xf borderId="0" fillId="0" fontId="8" numFmtId="3" xfId="0" applyAlignment="1" applyFont="1" applyNumberFormat="1">
      <alignment shrinkToFit="0" vertical="bottom" wrapText="0"/>
    </xf>
    <xf borderId="0" fillId="0" fontId="0" numFmtId="1" xfId="0" applyFont="1" applyNumberFormat="1"/>
    <xf borderId="0" fillId="0" fontId="0" numFmtId="3" xfId="0" applyFont="1" applyNumberFormat="1"/>
    <xf borderId="0" fillId="0" fontId="7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2" numFmtId="10" xfId="0" applyFont="1" applyNumberFormat="1"/>
    <xf borderId="0" fillId="0" fontId="0" numFmtId="10" xfId="0" applyFont="1" applyNumberFormat="1"/>
    <xf borderId="10" fillId="6" fontId="8" numFmtId="0" xfId="0" applyAlignment="1" applyBorder="1" applyFill="1" applyFont="1">
      <alignment shrinkToFit="0" vertical="bottom" wrapText="0"/>
    </xf>
    <xf borderId="10" fillId="6" fontId="8" numFmtId="0" xfId="0" applyAlignment="1" applyBorder="1" applyFont="1">
      <alignment readingOrder="0" shrinkToFit="0" vertical="bottom" wrapText="0"/>
    </xf>
    <xf borderId="10" fillId="6" fontId="0" numFmtId="0" xfId="0" applyAlignment="1" applyBorder="1" applyFont="1">
      <alignment readingOrder="0"/>
    </xf>
    <xf borderId="10" fillId="6" fontId="2" numFmtId="0" xfId="0" applyAlignment="1" applyBorder="1" applyFont="1">
      <alignment readingOrder="0"/>
    </xf>
    <xf borderId="10" fillId="6" fontId="10" numFmtId="0" xfId="0" applyAlignment="1" applyBorder="1" applyFont="1">
      <alignment readingOrder="0" shrinkToFit="0" vertical="bottom" wrapText="0"/>
    </xf>
    <xf borderId="10" fillId="6" fontId="7" numFmtId="3" xfId="0" applyAlignment="1" applyBorder="1" applyFont="1" applyNumberFormat="1">
      <alignment horizontal="right" readingOrder="0" shrinkToFit="0" vertical="bottom" wrapText="0"/>
    </xf>
    <xf borderId="10" fillId="6" fontId="7" numFmtId="3" xfId="0" applyAlignment="1" applyBorder="1" applyFont="1" applyNumberFormat="1">
      <alignment horizontal="right" shrinkToFit="0" vertical="bottom" wrapText="0"/>
    </xf>
    <xf borderId="10" fillId="6" fontId="11" numFmtId="0" xfId="0" applyAlignment="1" applyBorder="1" applyFont="1">
      <alignment readingOrder="0"/>
    </xf>
    <xf borderId="10" fillId="6" fontId="8" numFmtId="10" xfId="0" applyAlignment="1" applyBorder="1" applyFont="1" applyNumberFormat="1">
      <alignment shrinkToFit="0" vertical="bottom" wrapText="0"/>
    </xf>
    <xf borderId="10" fillId="6" fontId="2" numFmtId="10" xfId="0" applyBorder="1" applyFont="1" applyNumberFormat="1"/>
    <xf borderId="10" fillId="6" fontId="12" numFmtId="0" xfId="0" applyAlignment="1" applyBorder="1" applyFont="1">
      <alignment readingOrder="0" shrinkToFit="0" vertical="bottom" wrapText="1"/>
    </xf>
    <xf borderId="10" fillId="6" fontId="13" numFmtId="10" xfId="0" applyBorder="1" applyFont="1" applyNumberFormat="1"/>
    <xf borderId="10" fillId="6" fontId="1" numFmtId="10" xfId="0" applyBorder="1" applyFont="1" applyNumberFormat="1"/>
    <xf borderId="10" fillId="6" fontId="2" numFmtId="10" xfId="0" applyAlignment="1" applyBorder="1" applyFont="1" applyNumberFormat="1">
      <alignment readingOrder="0"/>
    </xf>
    <xf borderId="0" fillId="0" fontId="8" numFmtId="1" xfId="0" applyAlignment="1" applyFont="1" applyNumberFormat="1">
      <alignment shrinkToFit="0" vertical="bottom" wrapText="0"/>
    </xf>
    <xf borderId="10" fillId="6" fontId="7" numFmtId="10" xfId="0" applyAlignment="1" applyBorder="1" applyFont="1" applyNumberFormat="1">
      <alignment horizontal="right" shrinkToFit="0" vertical="bottom" wrapText="0"/>
    </xf>
    <xf borderId="4" fillId="4" fontId="8" numFmtId="0" xfId="0" applyAlignment="1" applyBorder="1" applyFont="1">
      <alignment vertical="bottom"/>
    </xf>
    <xf borderId="5" fillId="4" fontId="7" numFmtId="0" xfId="0" applyAlignment="1" applyBorder="1" applyFont="1">
      <alignment horizontal="center" readingOrder="0" vertical="bottom"/>
    </xf>
    <xf borderId="6" fillId="4" fontId="7" numFmtId="0" xfId="0" applyAlignment="1" applyBorder="1" applyFont="1">
      <alignment horizontal="center" readingOrder="0" vertical="bottom"/>
    </xf>
    <xf borderId="9" fillId="5" fontId="7" numFmtId="0" xfId="0" applyAlignment="1" applyBorder="1" applyFont="1">
      <alignment readingOrder="0" vertical="bottom"/>
    </xf>
    <xf borderId="10" fillId="5" fontId="7" numFmtId="0" xfId="0" applyAlignment="1" applyBorder="1" applyFont="1">
      <alignment readingOrder="0" shrinkToFit="0" vertical="bottom" wrapText="0"/>
    </xf>
    <xf borderId="7" fillId="5" fontId="13" numFmtId="0" xfId="0" applyAlignment="1" applyBorder="1" applyFont="1">
      <alignment readingOrder="0"/>
    </xf>
    <xf borderId="8" fillId="0" fontId="8" numFmtId="0" xfId="0" applyAlignment="1" applyBorder="1" applyFont="1">
      <alignment readingOrder="0" vertical="bottom"/>
    </xf>
    <xf borderId="10" fillId="0" fontId="8" numFmtId="3" xfId="0" applyAlignment="1" applyBorder="1" applyFont="1" applyNumberFormat="1">
      <alignment shrinkToFit="0" vertical="bottom" wrapText="0"/>
    </xf>
    <xf borderId="7" fillId="0" fontId="8" numFmtId="3" xfId="0" applyAlignment="1" applyBorder="1" applyFont="1" applyNumberFormat="1">
      <alignment shrinkToFit="0" vertical="bottom" wrapText="0"/>
    </xf>
    <xf borderId="0" fillId="0" fontId="0" numFmtId="9" xfId="0" applyFont="1" applyNumberFormat="1"/>
    <xf borderId="8" fillId="0" fontId="7" numFmtId="0" xfId="0" applyAlignment="1" applyBorder="1" applyFont="1">
      <alignment readingOrder="0" vertical="bottom"/>
    </xf>
    <xf borderId="10" fillId="0" fontId="13" numFmtId="3" xfId="0" applyAlignment="1" applyBorder="1" applyFont="1" applyNumberFormat="1">
      <alignment readingOrder="0"/>
    </xf>
    <xf borderId="9" fillId="0" fontId="7" numFmtId="3" xfId="0" applyAlignment="1" applyBorder="1" applyFont="1" applyNumberFormat="1">
      <alignment horizontal="right" readingOrder="0" vertical="bottom"/>
    </xf>
    <xf borderId="10" fillId="0" fontId="13" numFmtId="3" xfId="0" applyBorder="1" applyFont="1" applyNumberFormat="1"/>
    <xf borderId="10" fillId="0" fontId="7" numFmtId="3" xfId="0" applyAlignment="1" applyBorder="1" applyFont="1" applyNumberFormat="1">
      <alignment shrinkToFit="0" vertical="bottom" wrapText="0"/>
    </xf>
    <xf borderId="7" fillId="0" fontId="7" numFmtId="3" xfId="0" applyAlignment="1" applyBorder="1" applyFont="1" applyNumberFormat="1">
      <alignment shrinkToFit="0" vertical="bottom" wrapText="0"/>
    </xf>
    <xf borderId="0" fillId="0" fontId="8" numFmtId="9" xfId="0" applyAlignment="1" applyFont="1" applyNumberFormat="1">
      <alignment shrinkToFit="0" vertical="bottom" wrapText="0"/>
    </xf>
    <xf borderId="0" fillId="0" fontId="8" numFmtId="9" xfId="0" applyAlignment="1" applyFont="1" applyNumberFormat="1">
      <alignment horizontal="right" readingOrder="0" shrinkToFit="0" vertical="bottom" wrapText="0"/>
    </xf>
    <xf borderId="0" fillId="0" fontId="7" numFmtId="0" xfId="0" applyAlignment="1" applyFont="1">
      <alignment readingOrder="0" vertical="bottom"/>
    </xf>
    <xf borderId="0" fillId="0" fontId="7" numFmtId="3" xfId="0" applyAlignment="1" applyFont="1" applyNumberFormat="1">
      <alignment horizontal="right" readingOrder="0" shrinkToFit="0" vertical="bottom" wrapText="0"/>
    </xf>
    <xf borderId="7" fillId="4" fontId="7" numFmtId="0" xfId="0" applyAlignment="1" applyBorder="1" applyFont="1">
      <alignment horizontal="center" readingOrder="0" vertical="bottom"/>
    </xf>
    <xf borderId="0" fillId="0" fontId="7" numFmtId="0" xfId="0" applyAlignment="1" applyFont="1">
      <alignment horizontal="center" readingOrder="0" shrinkToFit="0" vertical="bottom" wrapText="0"/>
    </xf>
    <xf borderId="10" fillId="5" fontId="13" numFmtId="0" xfId="0" applyAlignment="1" applyBorder="1" applyFont="1">
      <alignment readingOrder="0"/>
    </xf>
    <xf borderId="10" fillId="5" fontId="7" numFmtId="0" xfId="0" applyAlignment="1" applyBorder="1" applyFont="1">
      <alignment readingOrder="0" vertical="bottom"/>
    </xf>
    <xf borderId="0" fillId="0" fontId="13" numFmtId="0" xfId="0" applyAlignment="1" applyFont="1">
      <alignment readingOrder="0"/>
    </xf>
    <xf borderId="10" fillId="0" fontId="8" numFmtId="0" xfId="0" applyAlignment="1" applyBorder="1" applyFont="1">
      <alignment readingOrder="0" vertical="bottom"/>
    </xf>
    <xf borderId="10" fillId="0" fontId="7" numFmtId="0" xfId="0" applyAlignment="1" applyBorder="1" applyFont="1">
      <alignment readingOrder="0" vertical="bottom"/>
    </xf>
    <xf borderId="10" fillId="0" fontId="13" numFmtId="0" xfId="0" applyBorder="1" applyFont="1"/>
    <xf borderId="0" fillId="0" fontId="8" numFmtId="0" xfId="0" applyAlignment="1" applyFont="1">
      <alignment shrinkToFit="0" vertical="bottom" wrapText="0"/>
    </xf>
    <xf borderId="10" fillId="0" fontId="7" numFmtId="0" xfId="0" applyAlignment="1" applyBorder="1" applyFont="1">
      <alignment shrinkToFit="0" vertical="bottom" wrapText="0"/>
    </xf>
    <xf borderId="11" fillId="5" fontId="7" numFmtId="0" xfId="0" applyAlignment="1" applyBorder="1" applyFont="1">
      <alignment readingOrder="0" vertical="bottom"/>
    </xf>
    <xf borderId="0" fillId="0" fontId="1" numFmtId="0" xfId="0" applyAlignment="1" applyFont="1">
      <alignment readingOrder="0" vertical="top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vertical="top"/>
    </xf>
    <xf borderId="12" fillId="4" fontId="2" numFmtId="0" xfId="0" applyAlignment="1" applyBorder="1" applyFont="1">
      <alignment vertical="top"/>
    </xf>
    <xf borderId="13" fillId="0" fontId="9" numFmtId="0" xfId="0" applyBorder="1" applyFont="1"/>
    <xf borderId="7" fillId="4" fontId="1" numFmtId="0" xfId="0" applyAlignment="1" applyBorder="1" applyFont="1">
      <alignment horizontal="center" readingOrder="0"/>
    </xf>
    <xf borderId="14" fillId="0" fontId="9" numFmtId="0" xfId="0" applyBorder="1" applyFont="1"/>
    <xf borderId="9" fillId="0" fontId="9" numFmtId="0" xfId="0" applyBorder="1" applyFont="1"/>
    <xf borderId="10" fillId="5" fontId="8" numFmtId="0" xfId="0" applyAlignment="1" applyBorder="1" applyFont="1">
      <alignment readingOrder="0" shrinkToFit="0" vertical="bottom" wrapText="1"/>
    </xf>
    <xf borderId="10" fillId="5" fontId="10" numFmtId="0" xfId="0" applyAlignment="1" applyBorder="1" applyFont="1">
      <alignment readingOrder="0" shrinkToFit="0" vertical="bottom" wrapText="1"/>
    </xf>
    <xf borderId="13" fillId="4" fontId="7" numFmtId="0" xfId="0" applyAlignment="1" applyBorder="1" applyFont="1">
      <alignment horizontal="center" readingOrder="0" shrinkToFit="0" vertical="top" wrapText="1"/>
    </xf>
    <xf borderId="10" fillId="0" fontId="11" numFmtId="3" xfId="0" applyBorder="1" applyFont="1" applyNumberFormat="1"/>
    <xf borderId="10" fillId="0" fontId="1" numFmtId="3" xfId="0" applyAlignment="1" applyBorder="1" applyFont="1" applyNumberFormat="1">
      <alignment readingOrder="0"/>
    </xf>
    <xf borderId="15" fillId="0" fontId="9" numFmtId="0" xfId="0" applyBorder="1" applyFont="1"/>
    <xf borderId="9" fillId="5" fontId="14" numFmtId="0" xfId="0" applyAlignment="1" applyBorder="1" applyFont="1">
      <alignment readingOrder="0" vertical="bottom"/>
    </xf>
    <xf borderId="9" fillId="0" fontId="10" numFmtId="3" xfId="0" applyAlignment="1" applyBorder="1" applyFont="1" applyNumberFormat="1">
      <alignment horizontal="right" readingOrder="0" vertical="bottom"/>
    </xf>
    <xf borderId="9" fillId="0" fontId="14" numFmtId="3" xfId="0" applyAlignment="1" applyBorder="1" applyFont="1" applyNumberFormat="1">
      <alignment horizontal="right" readingOrder="0" shrinkToFit="0" vertical="bottom" wrapText="0"/>
    </xf>
    <xf borderId="10" fillId="0" fontId="11" numFmtId="3" xfId="0" applyAlignment="1" applyBorder="1" applyFont="1" applyNumberFormat="1">
      <alignment readingOrder="0"/>
    </xf>
    <xf borderId="10" fillId="0" fontId="15" numFmtId="3" xfId="0" applyAlignment="1" applyBorder="1" applyFont="1" applyNumberFormat="1">
      <alignment readingOrder="0"/>
    </xf>
    <xf borderId="9" fillId="0" fontId="14" numFmtId="3" xfId="0" applyAlignment="1" applyBorder="1" applyFont="1" applyNumberFormat="1">
      <alignment horizontal="right" readingOrder="0" vertical="bottom"/>
    </xf>
    <xf borderId="10" fillId="0" fontId="15" numFmtId="3" xfId="0" applyBorder="1" applyFont="1" applyNumberFormat="1"/>
    <xf borderId="10" fillId="7" fontId="2" numFmtId="3" xfId="0" applyAlignment="1" applyBorder="1" applyFill="1" applyFont="1" applyNumberFormat="1">
      <alignment readingOrder="0"/>
    </xf>
    <xf borderId="10" fillId="7" fontId="11" numFmtId="3" xfId="0" applyAlignment="1" applyBorder="1" applyFont="1" applyNumberFormat="1">
      <alignment readingOrder="0"/>
    </xf>
    <xf borderId="10" fillId="0" fontId="1" numFmtId="3" xfId="0" applyBorder="1" applyFont="1" applyNumberFormat="1"/>
    <xf borderId="10" fillId="0" fontId="10" numFmtId="3" xfId="0" applyAlignment="1" applyBorder="1" applyFont="1" applyNumberFormat="1">
      <alignment horizontal="right" readingOrder="0" shrinkToFit="0" vertical="bottom" wrapText="0"/>
    </xf>
    <xf borderId="10" fillId="0" fontId="14" numFmtId="3" xfId="0" applyAlignment="1" applyBorder="1" applyFont="1" applyNumberFormat="1">
      <alignment horizontal="right" readingOrder="0" shrinkToFit="0" vertical="bottom" wrapText="0"/>
    </xf>
    <xf borderId="9" fillId="0" fontId="10" numFmtId="3" xfId="0" applyAlignment="1" applyBorder="1" applyFont="1" applyNumberFormat="1">
      <alignment horizontal="right" readingOrder="0" shrinkToFit="0" vertical="bottom" wrapText="0"/>
    </xf>
    <xf borderId="4" fillId="4" fontId="7" numFmtId="0" xfId="0" applyAlignment="1" applyBorder="1" applyFont="1">
      <alignment horizontal="center" readingOrder="0" shrinkToFit="0" vertical="top" wrapText="1"/>
    </xf>
    <xf borderId="16" fillId="0" fontId="9" numFmtId="0" xfId="0" applyBorder="1" applyFont="1"/>
    <xf borderId="10" fillId="5" fontId="14" numFmtId="0" xfId="0" applyAlignment="1" applyBorder="1" applyFont="1">
      <alignment readingOrder="0" shrinkToFit="0" vertical="bottom" wrapText="0"/>
    </xf>
    <xf borderId="10" fillId="0" fontId="10" numFmtId="3" xfId="0" applyAlignment="1" applyBorder="1" applyFont="1" applyNumberFormat="1">
      <alignment shrinkToFit="0" vertical="bottom" wrapText="0"/>
    </xf>
    <xf borderId="10" fillId="0" fontId="14" numFmtId="3" xfId="0" applyAlignment="1" applyBorder="1" applyFont="1" applyNumberFormat="1">
      <alignment shrinkToFit="0" vertical="bottom" wrapText="0"/>
    </xf>
    <xf borderId="7" fillId="5" fontId="15" numFmtId="0" xfId="0" applyAlignment="1" applyBorder="1" applyFont="1">
      <alignment readingOrder="0"/>
    </xf>
    <xf borderId="7" fillId="0" fontId="10" numFmtId="3" xfId="0" applyAlignment="1" applyBorder="1" applyFont="1" applyNumberFormat="1">
      <alignment shrinkToFit="0" vertical="bottom" wrapText="0"/>
    </xf>
    <xf borderId="0" fillId="0" fontId="11" numFmtId="0" xfId="0" applyFont="1"/>
    <xf borderId="0" fillId="0" fontId="16" numFmtId="0" xfId="0" applyAlignment="1" applyFont="1">
      <alignment horizontal="left" readingOrder="0"/>
    </xf>
    <xf borderId="0" fillId="0" fontId="16" numFmtId="0" xfId="0" applyAlignment="1" applyFont="1">
      <alignment horizontal="center"/>
    </xf>
    <xf borderId="0" fillId="0" fontId="16" numFmtId="4" xfId="0" applyAlignment="1" applyFont="1" applyNumberFormat="1">
      <alignment horizontal="center"/>
    </xf>
    <xf borderId="0" fillId="8" fontId="16" numFmtId="0" xfId="0" applyAlignment="1" applyFill="1" applyFont="1">
      <alignment horizontal="center"/>
    </xf>
    <xf borderId="0" fillId="8" fontId="2" numFmtId="0" xfId="0" applyFont="1"/>
    <xf borderId="0" fillId="9" fontId="2" numFmtId="0" xfId="0" applyFill="1" applyFont="1"/>
    <xf borderId="0" fillId="0" fontId="2" numFmtId="4" xfId="0" applyFont="1" applyNumberFormat="1"/>
    <xf borderId="7" fillId="10" fontId="16" numFmtId="0" xfId="0" applyAlignment="1" applyBorder="1" applyFill="1" applyFont="1">
      <alignment horizontal="center" shrinkToFit="0" wrapText="1"/>
    </xf>
    <xf borderId="6" fillId="4" fontId="16" numFmtId="0" xfId="0" applyAlignment="1" applyBorder="1" applyFont="1">
      <alignment horizontal="center" shrinkToFit="0" wrapText="1"/>
    </xf>
    <xf borderId="7" fillId="4" fontId="16" numFmtId="0" xfId="0" applyAlignment="1" applyBorder="1" applyFont="1">
      <alignment horizontal="center" readingOrder="0" shrinkToFit="0" wrapText="1"/>
    </xf>
    <xf borderId="5" fillId="4" fontId="16" numFmtId="0" xfId="0" applyAlignment="1" applyBorder="1" applyFont="1">
      <alignment horizontal="center" readingOrder="0" shrinkToFit="0" wrapText="1"/>
    </xf>
    <xf borderId="7" fillId="11" fontId="16" numFmtId="0" xfId="0" applyAlignment="1" applyBorder="1" applyFill="1" applyFont="1">
      <alignment horizontal="center" shrinkToFit="0" wrapText="1"/>
    </xf>
    <xf borderId="10" fillId="9" fontId="16" numFmtId="0" xfId="0" applyAlignment="1" applyBorder="1" applyFont="1">
      <alignment horizontal="center" readingOrder="0" shrinkToFit="0" wrapText="1"/>
    </xf>
    <xf borderId="10" fillId="12" fontId="16" numFmtId="0" xfId="0" applyAlignment="1" applyBorder="1" applyFill="1" applyFont="1">
      <alignment horizontal="center" readingOrder="0" shrinkToFit="0" wrapText="1"/>
    </xf>
    <xf borderId="7" fillId="10" fontId="16" numFmtId="0" xfId="0" applyAlignment="1" applyBorder="1" applyFont="1">
      <alignment horizontal="center" readingOrder="0" shrinkToFit="0" wrapText="1"/>
    </xf>
    <xf borderId="0" fillId="0" fontId="16" numFmtId="0" xfId="0" applyAlignment="1" applyFont="1">
      <alignment horizontal="center" shrinkToFit="0" wrapText="1"/>
    </xf>
    <xf borderId="16" fillId="4" fontId="16" numFmtId="0" xfId="0" applyBorder="1" applyFont="1"/>
    <xf borderId="16" fillId="4" fontId="16" numFmtId="0" xfId="0" applyAlignment="1" applyBorder="1" applyFont="1">
      <alignment horizontal="center" shrinkToFit="0" wrapText="1"/>
    </xf>
    <xf borderId="10" fillId="5" fontId="16" numFmtId="0" xfId="0" applyAlignment="1" applyBorder="1" applyFont="1">
      <alignment shrinkToFit="0" wrapText="1"/>
    </xf>
    <xf borderId="10" fillId="5" fontId="16" numFmtId="0" xfId="0" applyAlignment="1" applyBorder="1" applyFont="1">
      <alignment readingOrder="0" shrinkToFit="0" wrapText="1"/>
    </xf>
    <xf borderId="7" fillId="13" fontId="16" numFmtId="4" xfId="0" applyAlignment="1" applyBorder="1" applyFill="1" applyFont="1" applyNumberFormat="1">
      <alignment horizontal="center" readingOrder="0" shrinkToFit="0" wrapText="1"/>
    </xf>
    <xf borderId="10" fillId="13" fontId="16" numFmtId="4" xfId="0" applyAlignment="1" applyBorder="1" applyFont="1" applyNumberFormat="1">
      <alignment horizontal="center" readingOrder="0" shrinkToFit="0" wrapText="1"/>
    </xf>
    <xf borderId="10" fillId="8" fontId="16" numFmtId="0" xfId="0" applyAlignment="1" applyBorder="1" applyFont="1">
      <alignment readingOrder="0" shrinkToFit="0" wrapText="1"/>
    </xf>
    <xf borderId="10" fillId="9" fontId="16" numFmtId="0" xfId="0" applyAlignment="1" applyBorder="1" applyFont="1">
      <alignment readingOrder="0" shrinkToFit="0" wrapText="1"/>
    </xf>
    <xf borderId="10" fillId="5" fontId="1" numFmtId="0" xfId="0" applyAlignment="1" applyBorder="1" applyFont="1">
      <alignment readingOrder="0" shrinkToFit="0" wrapText="1"/>
    </xf>
    <xf borderId="9" fillId="5" fontId="1" numFmtId="0" xfId="0" applyAlignment="1" applyBorder="1" applyFont="1">
      <alignment readingOrder="0" shrinkToFit="0" wrapText="1"/>
    </xf>
    <xf borderId="10" fillId="5" fontId="17" numFmtId="0" xfId="0" applyAlignment="1" applyBorder="1" applyFont="1">
      <alignment readingOrder="0" shrinkToFit="0" wrapText="1"/>
    </xf>
    <xf borderId="10" fillId="14" fontId="16" numFmtId="0" xfId="0" applyAlignment="1" applyBorder="1" applyFill="1" applyFont="1">
      <alignment readingOrder="0" shrinkToFit="0" wrapText="1"/>
    </xf>
    <xf borderId="0" fillId="0" fontId="7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 shrinkToFit="0" wrapText="1"/>
    </xf>
    <xf borderId="4" fillId="4" fontId="16" numFmtId="0" xfId="0" applyBorder="1" applyFont="1"/>
    <xf borderId="4" fillId="4" fontId="16" numFmtId="0" xfId="0" applyAlignment="1" applyBorder="1" applyFont="1">
      <alignment horizontal="center" shrinkToFit="0" wrapText="1"/>
    </xf>
    <xf borderId="10" fillId="13" fontId="16" numFmtId="4" xfId="0" applyAlignment="1" applyBorder="1" applyFont="1" applyNumberFormat="1">
      <alignment shrinkToFit="0" wrapText="1"/>
    </xf>
    <xf borderId="10" fillId="13" fontId="16" numFmtId="0" xfId="0" applyAlignment="1" applyBorder="1" applyFont="1">
      <alignment readingOrder="0" shrinkToFit="0" wrapText="1"/>
    </xf>
    <xf borderId="10" fillId="13" fontId="16" numFmtId="0" xfId="0" applyAlignment="1" applyBorder="1" applyFont="1">
      <alignment shrinkToFit="0" wrapText="1"/>
    </xf>
    <xf borderId="10" fillId="13" fontId="17" numFmtId="0" xfId="0" applyAlignment="1" applyBorder="1" applyFont="1">
      <alignment readingOrder="0" shrinkToFit="0" wrapText="1"/>
    </xf>
    <xf borderId="10" fillId="15" fontId="16" numFmtId="0" xfId="0" applyAlignment="1" applyBorder="1" applyFill="1" applyFont="1">
      <alignment shrinkToFit="0" wrapText="1"/>
    </xf>
    <xf borderId="10" fillId="15" fontId="16" numFmtId="0" xfId="0" applyAlignment="1" applyBorder="1" applyFont="1">
      <alignment readingOrder="0" shrinkToFit="0" wrapText="1"/>
    </xf>
    <xf borderId="10" fillId="5" fontId="18" numFmtId="0" xfId="0" applyAlignment="1" applyBorder="1" applyFont="1">
      <alignment readingOrder="0" shrinkToFit="0" wrapText="1"/>
    </xf>
    <xf borderId="10" fillId="5" fontId="19" numFmtId="0" xfId="0" applyAlignment="1" applyBorder="1" applyFont="1">
      <alignment readingOrder="0" shrinkToFit="0" wrapText="1"/>
    </xf>
    <xf borderId="9" fillId="5" fontId="20" numFmtId="0" xfId="0" applyAlignment="1" applyBorder="1" applyFont="1">
      <alignment readingOrder="0" shrinkToFit="0" wrapText="1"/>
    </xf>
    <xf borderId="9" fillId="5" fontId="21" numFmtId="0" xfId="0" applyAlignment="1" applyBorder="1" applyFont="1">
      <alignment readingOrder="0" shrinkToFit="0" wrapText="1"/>
    </xf>
    <xf borderId="9" fillId="5" fontId="22" numFmtId="0" xfId="0" applyAlignment="1" applyBorder="1" applyFont="1">
      <alignment readingOrder="0" shrinkToFit="0" vertical="bottom" wrapText="1"/>
    </xf>
    <xf borderId="10" fillId="14" fontId="18" numFmtId="0" xfId="0" applyAlignment="1" applyBorder="1" applyFont="1">
      <alignment readingOrder="0" shrinkToFit="0" wrapText="1"/>
    </xf>
    <xf borderId="10" fillId="0" fontId="23" numFmtId="0" xfId="0" applyAlignment="1" applyBorder="1" applyFont="1">
      <alignment horizontal="center"/>
    </xf>
    <xf borderId="10" fillId="0" fontId="23" numFmtId="0" xfId="0" applyBorder="1" applyFont="1"/>
    <xf borderId="10" fillId="0" fontId="23" numFmtId="3" xfId="0" applyBorder="1" applyFont="1" applyNumberFormat="1"/>
    <xf borderId="10" fillId="0" fontId="8" numFmtId="3" xfId="0" applyAlignment="1" applyBorder="1" applyFont="1" applyNumberFormat="1">
      <alignment horizontal="right" readingOrder="0" shrinkToFit="0" vertical="bottom" wrapText="0"/>
    </xf>
    <xf borderId="10" fillId="0" fontId="23" numFmtId="3" xfId="0" applyAlignment="1" applyBorder="1" applyFont="1" applyNumberFormat="1">
      <alignment readingOrder="0"/>
    </xf>
    <xf borderId="11" fillId="0" fontId="2" numFmtId="4" xfId="0" applyAlignment="1" applyBorder="1" applyFont="1" applyNumberFormat="1">
      <alignment readingOrder="0"/>
    </xf>
    <xf borderId="11" fillId="0" fontId="23" numFmtId="3" xfId="0" applyAlignment="1" applyBorder="1" applyFont="1" applyNumberFormat="1">
      <alignment readingOrder="0"/>
    </xf>
    <xf borderId="10" fillId="15" fontId="23" numFmtId="3" xfId="0" applyAlignment="1" applyBorder="1" applyFont="1" applyNumberFormat="1">
      <alignment readingOrder="0"/>
    </xf>
    <xf borderId="10" fillId="8" fontId="23" numFmtId="9" xfId="0" applyBorder="1" applyFont="1" applyNumberFormat="1"/>
    <xf borderId="10" fillId="0" fontId="23" numFmtId="9" xfId="0" applyBorder="1" applyFont="1" applyNumberFormat="1"/>
    <xf borderId="10" fillId="8" fontId="2" numFmtId="3" xfId="0" applyAlignment="1" applyBorder="1" applyFont="1" applyNumberFormat="1">
      <alignment readingOrder="0"/>
    </xf>
    <xf borderId="10" fillId="9" fontId="23" numFmtId="9" xfId="0" applyBorder="1" applyFont="1" applyNumberFormat="1"/>
    <xf borderId="9" fillId="0" fontId="2" numFmtId="3" xfId="0" applyAlignment="1" applyBorder="1" applyFont="1" applyNumberFormat="1">
      <alignment readingOrder="0"/>
    </xf>
    <xf borderId="10" fillId="14" fontId="23" numFmtId="3" xfId="0" applyAlignment="1" applyBorder="1" applyFont="1" applyNumberFormat="1">
      <alignment readingOrder="0"/>
    </xf>
    <xf borderId="10" fillId="14" fontId="23" numFmtId="1" xfId="0" applyAlignment="1" applyBorder="1" applyFont="1" applyNumberFormat="1">
      <alignment readingOrder="0"/>
    </xf>
    <xf borderId="10" fillId="0" fontId="23" numFmtId="1" xfId="0" applyAlignment="1" applyBorder="1" applyFont="1" applyNumberFormat="1">
      <alignment readingOrder="0"/>
    </xf>
    <xf borderId="0" fillId="0" fontId="23" numFmtId="1" xfId="0" applyFont="1" applyNumberFormat="1"/>
    <xf borderId="0" fillId="0" fontId="23" numFmtId="1" xfId="0" applyAlignment="1" applyFont="1" applyNumberFormat="1">
      <alignment readingOrder="0"/>
    </xf>
    <xf borderId="10" fillId="0" fontId="8" numFmtId="1" xfId="0" applyAlignment="1" applyBorder="1" applyFont="1" applyNumberFormat="1">
      <alignment horizontal="right" readingOrder="0" shrinkToFit="0" vertical="bottom" wrapText="0"/>
    </xf>
    <xf borderId="5" fillId="0" fontId="23" numFmtId="10" xfId="0" applyAlignment="1" applyBorder="1" applyFont="1" applyNumberFormat="1">
      <alignment readingOrder="0"/>
    </xf>
    <xf borderId="10" fillId="0" fontId="23" numFmtId="10" xfId="0" applyAlignment="1" applyBorder="1" applyFont="1" applyNumberFormat="1">
      <alignment readingOrder="0"/>
    </xf>
    <xf borderId="10" fillId="15" fontId="2" numFmtId="10" xfId="0" applyAlignment="1" applyBorder="1" applyFont="1" applyNumberFormat="1">
      <alignment readingOrder="0"/>
    </xf>
    <xf borderId="10" fillId="15" fontId="2" numFmtId="3" xfId="0" applyAlignment="1" applyBorder="1" applyFont="1" applyNumberFormat="1">
      <alignment readingOrder="0"/>
    </xf>
    <xf borderId="10" fillId="15" fontId="23" numFmtId="10" xfId="0" applyAlignment="1" applyBorder="1" applyFont="1" applyNumberFormat="1">
      <alignment readingOrder="0"/>
    </xf>
    <xf borderId="10" fillId="8" fontId="23" numFmtId="10" xfId="0" applyBorder="1" applyFont="1" applyNumberFormat="1"/>
    <xf borderId="10" fillId="0" fontId="23" numFmtId="4" xfId="0" applyBorder="1" applyFont="1" applyNumberFormat="1"/>
    <xf borderId="10" fillId="8" fontId="2" numFmtId="10" xfId="0" applyAlignment="1" applyBorder="1" applyFont="1" applyNumberFormat="1">
      <alignment readingOrder="0"/>
    </xf>
    <xf borderId="10" fillId="0" fontId="2" numFmtId="10" xfId="0" applyAlignment="1" applyBorder="1" applyFont="1" applyNumberFormat="1">
      <alignment readingOrder="0"/>
    </xf>
    <xf borderId="10" fillId="0" fontId="23" numFmtId="164" xfId="0" applyAlignment="1" applyBorder="1" applyFont="1" applyNumberFormat="1">
      <alignment readingOrder="0"/>
    </xf>
    <xf borderId="10" fillId="14" fontId="23" numFmtId="3" xfId="0" applyAlignment="1" applyBorder="1" applyFont="1" applyNumberFormat="1">
      <alignment horizontal="right" vertical="bottom"/>
    </xf>
    <xf borderId="10" fillId="14" fontId="23" numFmtId="10" xfId="0" applyAlignment="1" applyBorder="1" applyFont="1" applyNumberFormat="1">
      <alignment readingOrder="0"/>
    </xf>
    <xf borderId="10" fillId="0" fontId="8" numFmtId="4" xfId="0" applyAlignment="1" applyBorder="1" applyFont="1" applyNumberFormat="1">
      <alignment horizontal="right" readingOrder="0" shrinkToFit="0" vertical="bottom" wrapText="0"/>
    </xf>
    <xf borderId="10" fillId="16" fontId="23" numFmtId="9" xfId="0" applyBorder="1" applyFill="1" applyFont="1" applyNumberFormat="1"/>
    <xf borderId="10" fillId="16" fontId="23" numFmtId="164" xfId="0" applyAlignment="1" applyBorder="1" applyFont="1" applyNumberFormat="1">
      <alignment readingOrder="0"/>
    </xf>
    <xf borderId="10" fillId="7" fontId="23" numFmtId="164" xfId="0" applyAlignment="1" applyBorder="1" applyFont="1" applyNumberFormat="1">
      <alignment readingOrder="0"/>
    </xf>
    <xf borderId="10" fillId="15" fontId="2" numFmtId="0" xfId="0" applyAlignment="1" applyBorder="1" applyFont="1">
      <alignment readingOrder="0"/>
    </xf>
    <xf borderId="10" fillId="17" fontId="23" numFmtId="9" xfId="0" applyBorder="1" applyFill="1" applyFont="1" applyNumberFormat="1"/>
    <xf borderId="0" fillId="0" fontId="2" numFmtId="3" xfId="0" applyAlignment="1" applyFont="1" applyNumberFormat="1">
      <alignment readingOrder="0"/>
    </xf>
    <xf borderId="10" fillId="8" fontId="1" numFmtId="10" xfId="0" applyAlignment="1" applyBorder="1" applyFont="1" applyNumberFormat="1">
      <alignment readingOrder="0"/>
    </xf>
    <xf borderId="10" fillId="0" fontId="1" numFmtId="10" xfId="0" applyAlignment="1" applyBorder="1" applyFont="1" applyNumberFormat="1">
      <alignment readingOrder="0"/>
    </xf>
    <xf borderId="10" fillId="14" fontId="23" numFmtId="3" xfId="0" applyAlignment="1" applyBorder="1" applyFont="1" applyNumberFormat="1">
      <alignment readingOrder="0" vertical="bottom"/>
    </xf>
    <xf borderId="10" fillId="7" fontId="2" numFmtId="10" xfId="0" applyAlignment="1" applyBorder="1" applyFont="1" applyNumberFormat="1">
      <alignment readingOrder="0"/>
    </xf>
    <xf borderId="10" fillId="14" fontId="23" numFmtId="3" xfId="0" applyBorder="1" applyFont="1" applyNumberFormat="1"/>
    <xf borderId="10" fillId="14" fontId="2" numFmtId="0" xfId="0" applyAlignment="1" applyBorder="1" applyFont="1">
      <alignment readingOrder="0"/>
    </xf>
    <xf borderId="10" fillId="15" fontId="23" numFmtId="3" xfId="0" applyAlignment="1" applyBorder="1" applyFont="1" applyNumberFormat="1">
      <alignment horizontal="right" readingOrder="0"/>
    </xf>
    <xf borderId="10" fillId="0" fontId="2" numFmtId="0" xfId="0" applyAlignment="1" applyBorder="1" applyFont="1">
      <alignment readingOrder="0"/>
    </xf>
    <xf borderId="10" fillId="6" fontId="1" numFmtId="10" xfId="0" applyAlignment="1" applyBorder="1" applyFont="1" applyNumberFormat="1">
      <alignment readingOrder="0"/>
    </xf>
    <xf borderId="10" fillId="0" fontId="16" numFmtId="3" xfId="0" applyAlignment="1" applyBorder="1" applyFont="1" applyNumberFormat="1">
      <alignment readingOrder="0"/>
    </xf>
    <xf borderId="10" fillId="0" fontId="2" numFmtId="1" xfId="0" applyAlignment="1" applyBorder="1" applyFont="1" applyNumberFormat="1">
      <alignment readingOrder="0"/>
    </xf>
    <xf borderId="10" fillId="0" fontId="1" numFmtId="0" xfId="0" applyAlignment="1" applyBorder="1" applyFont="1">
      <alignment readingOrder="0"/>
    </xf>
    <xf borderId="11" fillId="0" fontId="1" numFmtId="1" xfId="0" applyAlignment="1" applyBorder="1" applyFont="1" applyNumberFormat="1">
      <alignment readingOrder="0"/>
    </xf>
    <xf borderId="11" fillId="0" fontId="1" numFmtId="3" xfId="0" applyBorder="1" applyFont="1" applyNumberFormat="1"/>
    <xf borderId="10" fillId="15" fontId="1" numFmtId="3" xfId="0" applyBorder="1" applyFont="1" applyNumberFormat="1"/>
    <xf borderId="10" fillId="8" fontId="16" numFmtId="9" xfId="0" applyBorder="1" applyFont="1" applyNumberFormat="1"/>
    <xf borderId="10" fillId="0" fontId="16" numFmtId="9" xfId="0" applyBorder="1" applyFont="1" applyNumberFormat="1"/>
    <xf borderId="10" fillId="9" fontId="16" numFmtId="9" xfId="0" applyBorder="1" applyFont="1" applyNumberFormat="1"/>
    <xf borderId="10" fillId="0" fontId="16" numFmtId="3" xfId="0" applyBorder="1" applyFont="1" applyNumberFormat="1"/>
    <xf borderId="10" fillId="14" fontId="16" numFmtId="3" xfId="0" applyAlignment="1" applyBorder="1" applyFont="1" applyNumberFormat="1">
      <alignment readingOrder="0"/>
    </xf>
    <xf borderId="10" fillId="14" fontId="1" numFmtId="3" xfId="0" applyAlignment="1" applyBorder="1" applyFont="1" applyNumberFormat="1">
      <alignment readingOrder="0"/>
    </xf>
    <xf borderId="10" fillId="14" fontId="1" numFmtId="1" xfId="0" applyBorder="1" applyFont="1" applyNumberFormat="1"/>
    <xf borderId="10" fillId="0" fontId="1" numFmtId="1" xfId="0" applyBorder="1" applyFont="1" applyNumberFormat="1"/>
    <xf borderId="10" fillId="0" fontId="16" numFmtId="1" xfId="0" applyBorder="1" applyFont="1" applyNumberFormat="1"/>
    <xf borderId="0" fillId="15" fontId="2" numFmtId="10" xfId="0" applyFont="1" applyNumberFormat="1"/>
    <xf borderId="0" fillId="8" fontId="2" numFmtId="10" xfId="0" applyFont="1" applyNumberFormat="1"/>
    <xf borderId="0" fillId="9" fontId="23" numFmtId="3" xfId="0" applyFont="1" applyNumberFormat="1"/>
    <xf borderId="0" fillId="0" fontId="2" numFmtId="9" xfId="0" applyFont="1" applyNumberFormat="1"/>
    <xf borderId="0" fillId="0" fontId="2" numFmtId="3" xfId="0" applyFont="1" applyNumberFormat="1"/>
    <xf borderId="0" fillId="15" fontId="2" numFmtId="0" xfId="0" applyFont="1"/>
    <xf borderId="0" fillId="18" fontId="2" numFmtId="0" xfId="0" applyAlignment="1" applyFill="1" applyFont="1">
      <alignment readingOrder="0"/>
    </xf>
    <xf borderId="0" fillId="18" fontId="2" numFmtId="0" xfId="0" applyFont="1"/>
    <xf borderId="0" fillId="0" fontId="2" numFmtId="0" xfId="0" applyFont="1"/>
    <xf borderId="10" fillId="15" fontId="1" numFmtId="0" xfId="0" applyAlignment="1" applyBorder="1" applyFont="1">
      <alignment readingOrder="0"/>
    </xf>
    <xf borderId="0" fillId="15" fontId="1" numFmtId="0" xfId="0" applyAlignment="1" applyFont="1">
      <alignment readingOrder="0"/>
    </xf>
    <xf borderId="0" fillId="11" fontId="2" numFmtId="0" xfId="0" applyAlignment="1" applyFont="1">
      <alignment readingOrder="0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11" numFmtId="4" xfId="0" applyAlignment="1" applyFont="1" applyNumberFormat="1">
      <alignment readingOrder="0"/>
    </xf>
    <xf borderId="0" fillId="19" fontId="16" numFmtId="0" xfId="0" applyAlignment="1" applyFill="1" applyFont="1">
      <alignment horizontal="center"/>
    </xf>
    <xf borderId="17" fillId="12" fontId="16" numFmtId="0" xfId="0" applyAlignment="1" applyBorder="1" applyFont="1">
      <alignment horizontal="center"/>
    </xf>
    <xf borderId="0" fillId="19" fontId="2" numFmtId="0" xfId="0" applyFont="1"/>
    <xf borderId="17" fillId="12" fontId="2" numFmtId="0" xfId="0" applyBorder="1" applyFont="1"/>
    <xf borderId="7" fillId="4" fontId="16" numFmtId="0" xfId="0" applyAlignment="1" applyBorder="1" applyFont="1">
      <alignment horizontal="center" shrinkToFit="0" wrapText="1"/>
    </xf>
    <xf borderId="7" fillId="19" fontId="16" numFmtId="0" xfId="0" applyAlignment="1" applyBorder="1" applyFont="1">
      <alignment horizontal="center" shrinkToFit="0" wrapText="1"/>
    </xf>
    <xf borderId="10" fillId="4" fontId="16" numFmtId="0" xfId="0" applyAlignment="1" applyBorder="1" applyFont="1">
      <alignment horizontal="center" shrinkToFit="0" wrapText="1"/>
    </xf>
    <xf borderId="7" fillId="12" fontId="16" numFmtId="0" xfId="0" applyAlignment="1" applyBorder="1" applyFont="1">
      <alignment horizontal="center" shrinkToFit="0" wrapText="1"/>
    </xf>
    <xf borderId="10" fillId="4" fontId="16" numFmtId="0" xfId="0" applyAlignment="1" applyBorder="1" applyFont="1">
      <alignment horizontal="center" readingOrder="0" shrinkToFit="0" wrapText="1"/>
    </xf>
    <xf borderId="10" fillId="19" fontId="16" numFmtId="0" xfId="0" applyAlignment="1" applyBorder="1" applyFont="1">
      <alignment shrinkToFit="0" wrapText="1"/>
    </xf>
    <xf borderId="10" fillId="12" fontId="16" numFmtId="0" xfId="0" applyAlignment="1" applyBorder="1" applyFont="1">
      <alignment readingOrder="0" shrinkToFit="0" wrapText="1"/>
    </xf>
    <xf borderId="10" fillId="5" fontId="16" numFmtId="10" xfId="0" applyAlignment="1" applyBorder="1" applyFont="1" applyNumberFormat="1">
      <alignment readingOrder="0" shrinkToFit="0" wrapText="1"/>
    </xf>
    <xf borderId="10" fillId="4" fontId="16" numFmtId="0" xfId="0" applyAlignment="1" applyBorder="1" applyFont="1">
      <alignment readingOrder="0"/>
    </xf>
    <xf borderId="10" fillId="19" fontId="23" numFmtId="3" xfId="0" applyBorder="1" applyFont="1" applyNumberFormat="1"/>
    <xf borderId="10" fillId="19" fontId="8" numFmtId="3" xfId="0" applyAlignment="1" applyBorder="1" applyFont="1" applyNumberFormat="1">
      <alignment horizontal="right" readingOrder="0" shrinkToFit="0" vertical="bottom" wrapText="0"/>
    </xf>
    <xf borderId="10" fillId="12" fontId="23" numFmtId="3" xfId="0" applyBorder="1" applyFont="1" applyNumberFormat="1"/>
    <xf borderId="10" fillId="0" fontId="23" numFmtId="10" xfId="0" applyBorder="1" applyFont="1" applyNumberFormat="1"/>
    <xf borderId="10" fillId="0" fontId="8" numFmtId="10" xfId="0" applyAlignment="1" applyBorder="1" applyFont="1" applyNumberFormat="1">
      <alignment horizontal="right" readingOrder="0" shrinkToFit="0" vertical="bottom" wrapText="0"/>
    </xf>
    <xf borderId="10" fillId="0" fontId="23" numFmtId="0" xfId="0" applyAlignment="1" applyBorder="1" applyFont="1">
      <alignment horizontal="center" readingOrder="0"/>
    </xf>
    <xf borderId="10" fillId="19" fontId="1" numFmtId="3" xfId="0" applyBorder="1" applyFont="1" applyNumberFormat="1"/>
    <xf borderId="10" fillId="12" fontId="1" numFmtId="3" xfId="0" applyBorder="1" applyFont="1" applyNumberForma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0" fontId="2" numFmtId="0" xfId="0" applyFont="1"/>
    <xf borderId="0" fillId="19" fontId="2" numFmtId="0" xfId="0" applyFont="1"/>
    <xf borderId="10" fillId="0" fontId="11" numFmtId="0" xfId="0" applyAlignment="1" applyBorder="1" applyFont="1">
      <alignment horizontal="left" readingOrder="0"/>
    </xf>
    <xf borderId="10" fillId="0" fontId="11" numFmtId="0" xfId="0" applyAlignment="1" applyBorder="1" applyFont="1">
      <alignment readingOrder="0"/>
    </xf>
    <xf borderId="10" fillId="0" fontId="11" numFmtId="0" xfId="0" applyAlignment="1" applyBorder="1" applyFont="1">
      <alignment readingOrder="0" shrinkToFit="0" wrapText="1"/>
    </xf>
    <xf borderId="0" fillId="19" fontId="11" numFmtId="0" xfId="0" applyAlignment="1" applyFont="1">
      <alignment readingOrder="0" shrinkToFit="0" wrapText="1"/>
    </xf>
    <xf borderId="0" fillId="0" fontId="11" numFmtId="0" xfId="0" applyAlignment="1" applyFont="1">
      <alignment shrinkToFit="0" wrapText="1"/>
    </xf>
    <xf borderId="0" fillId="0" fontId="11" numFmtId="0" xfId="0" applyAlignment="1" applyFont="1">
      <alignment readingOrder="0" shrinkToFit="0" wrapText="1"/>
    </xf>
    <xf borderId="10" fillId="0" fontId="2" numFmtId="0" xfId="0" applyAlignment="1" applyBorder="1" applyFont="1">
      <alignment horizontal="left"/>
    </xf>
    <xf borderId="10" fillId="0" fontId="2" numFmtId="0" xfId="0" applyBorder="1" applyFont="1"/>
    <xf borderId="10" fillId="0" fontId="2" numFmtId="10" xfId="0" applyBorder="1" applyFont="1" applyNumberFormat="1"/>
    <xf borderId="10" fillId="0" fontId="2" numFmtId="164" xfId="0" applyAlignment="1" applyBorder="1" applyFont="1" applyNumberFormat="1">
      <alignment readingOrder="0"/>
    </xf>
    <xf borderId="0" fillId="19" fontId="2" numFmtId="3" xfId="0" applyFont="1" applyNumberFormat="1"/>
    <xf borderId="0" fillId="0" fontId="2" numFmtId="1" xfId="0" applyAlignment="1" applyFont="1" applyNumberFormat="1">
      <alignment readingOrder="0"/>
    </xf>
    <xf borderId="0" fillId="0" fontId="2" numFmtId="1" xfId="0" applyFont="1" applyNumberFormat="1"/>
    <xf borderId="10" fillId="0" fontId="2" numFmtId="0" xfId="0" applyAlignment="1" applyBorder="1" applyFont="1">
      <alignment horizontal="left" readingOrder="0"/>
    </xf>
    <xf borderId="10" fillId="2" fontId="23" numFmtId="3" xfId="0" applyAlignment="1" applyBorder="1" applyFont="1" applyNumberFormat="1">
      <alignment readingOrder="0"/>
    </xf>
    <xf borderId="10" fillId="0" fontId="23" numFmtId="0" xfId="0" applyAlignment="1" applyBorder="1" applyFont="1">
      <alignment horizontal="left" readingOrder="0"/>
    </xf>
    <xf borderId="10" fillId="0" fontId="23" numFmtId="0" xfId="0" applyAlignment="1" applyBorder="1" applyFont="1">
      <alignment horizontal="left"/>
    </xf>
    <xf borderId="10" fillId="0" fontId="23" numFmtId="0" xfId="0" applyAlignment="1" applyBorder="1" applyFont="1">
      <alignment readingOrder="0"/>
    </xf>
    <xf borderId="10" fillId="2" fontId="23" numFmtId="10" xfId="0" applyBorder="1" applyFont="1" applyNumberFormat="1"/>
    <xf borderId="10" fillId="2" fontId="23" numFmtId="10" xfId="0" applyAlignment="1" applyBorder="1" applyFont="1" applyNumberFormat="1">
      <alignment readingOrder="0"/>
    </xf>
    <xf borderId="10" fillId="2" fontId="23" numFmtId="3" xfId="0" applyBorder="1" applyFont="1" applyNumberFormat="1"/>
    <xf borderId="10" fillId="2" fontId="8" numFmtId="3" xfId="0" applyAlignment="1" applyBorder="1" applyFont="1" applyNumberFormat="1">
      <alignment horizontal="right" readingOrder="0" shrinkToFit="0" vertical="bottom" wrapText="0"/>
    </xf>
    <xf borderId="10" fillId="2" fontId="8" numFmtId="10" xfId="0" applyAlignment="1" applyBorder="1" applyFont="1" applyNumberFormat="1">
      <alignment horizontal="right" readingOrder="0" shrinkToFit="0" vertical="bottom" wrapText="0"/>
    </xf>
    <xf borderId="10" fillId="0" fontId="11" numFmtId="0" xfId="0" applyAlignment="1" applyBorder="1" applyFont="1">
      <alignment shrinkToFit="0" wrapText="1"/>
    </xf>
    <xf borderId="0" fillId="0" fontId="2" numFmtId="0" xfId="0" applyAlignment="1" applyFont="1">
      <alignment horizontal="left"/>
    </xf>
    <xf borderId="0" fillId="0" fontId="2" numFmtId="10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16" numFmtId="0" xfId="0" applyAlignment="1" applyFont="1">
      <alignment readingOrder="0"/>
    </xf>
    <xf borderId="4" fillId="4" fontId="16" numFmtId="0" xfId="0" applyAlignment="1" applyBorder="1" applyFont="1">
      <alignment horizontal="center" readingOrder="0" shrinkToFit="0" wrapText="1"/>
    </xf>
    <xf borderId="7" fillId="6" fontId="1" numFmtId="0" xfId="0" applyAlignment="1" applyBorder="1" applyFont="1">
      <alignment horizontal="center" readingOrder="0"/>
    </xf>
    <xf borderId="7" fillId="6" fontId="1" numFmtId="0" xfId="0" applyAlignment="1" applyBorder="1" applyFont="1">
      <alignment horizontal="center" readingOrder="0" shrinkToFit="0" wrapText="1"/>
    </xf>
    <xf borderId="12" fillId="4" fontId="1" numFmtId="0" xfId="0" applyAlignment="1" applyBorder="1" applyFont="1">
      <alignment horizontal="center" readingOrder="0"/>
    </xf>
    <xf borderId="18" fillId="0" fontId="9" numFmtId="0" xfId="0" applyBorder="1" applyFont="1"/>
    <xf borderId="12" fillId="4" fontId="1" numFmtId="0" xfId="0" applyAlignment="1" applyBorder="1" applyFont="1">
      <alignment readingOrder="0"/>
    </xf>
    <xf borderId="7" fillId="4" fontId="16" numFmtId="0" xfId="0" applyAlignment="1" applyBorder="1" applyFont="1">
      <alignment horizontal="center" readingOrder="0"/>
    </xf>
    <xf borderId="12" fillId="4" fontId="1" numFmtId="0" xfId="0" applyAlignment="1" applyBorder="1" applyFont="1">
      <alignment readingOrder="0" shrinkToFit="0" wrapText="1"/>
    </xf>
    <xf borderId="4" fillId="6" fontId="16" numFmtId="0" xfId="0" applyAlignment="1" applyBorder="1" applyFont="1">
      <alignment shrinkToFit="0" wrapText="1"/>
    </xf>
    <xf borderId="4" fillId="6" fontId="16" numFmtId="0" xfId="0" applyBorder="1" applyFont="1"/>
    <xf borderId="4" fillId="6" fontId="16" numFmtId="0" xfId="0" applyAlignment="1" applyBorder="1" applyFont="1">
      <alignment readingOrder="0" shrinkToFit="0" wrapText="1"/>
    </xf>
    <xf borderId="4" fillId="6" fontId="16" numFmtId="0" xfId="0" applyAlignment="1" applyBorder="1" applyFont="1">
      <alignment horizontal="left" readingOrder="0" shrinkToFit="0" wrapText="1"/>
    </xf>
    <xf borderId="11" fillId="0" fontId="9" numFmtId="0" xfId="0" applyBorder="1" applyFont="1"/>
    <xf borderId="9" fillId="4" fontId="1" numFmtId="0" xfId="0" applyAlignment="1" applyBorder="1" applyFont="1">
      <alignment horizontal="center" readingOrder="0" shrinkToFit="0" wrapText="1"/>
    </xf>
    <xf borderId="15" fillId="4" fontId="7" numFmtId="0" xfId="0" applyAlignment="1" applyBorder="1" applyFont="1">
      <alignment readingOrder="0" shrinkToFit="0" vertical="bottom" wrapText="1"/>
    </xf>
    <xf borderId="4" fillId="4" fontId="1" numFmtId="0" xfId="0" applyAlignment="1" applyBorder="1" applyFont="1">
      <alignment readingOrder="0" shrinkToFit="0" wrapText="1"/>
    </xf>
    <xf borderId="10" fillId="4" fontId="1" numFmtId="0" xfId="0" applyAlignment="1" applyBorder="1" applyFont="1">
      <alignment readingOrder="0"/>
    </xf>
    <xf borderId="10" fillId="4" fontId="16" numFmtId="1" xfId="0" applyAlignment="1" applyBorder="1" applyFont="1" applyNumberFormat="1">
      <alignment readingOrder="0"/>
    </xf>
    <xf borderId="9" fillId="4" fontId="16" numFmtId="1" xfId="0" applyAlignment="1" applyBorder="1" applyFont="1" applyNumberFormat="1">
      <alignment readingOrder="0"/>
    </xf>
    <xf borderId="10" fillId="4" fontId="1" numFmtId="0" xfId="0" applyAlignment="1" applyBorder="1" applyFont="1">
      <alignment readingOrder="0" shrinkToFit="0" wrapText="1"/>
    </xf>
    <xf borderId="10" fillId="0" fontId="23" numFmtId="1" xfId="0" applyBorder="1" applyFont="1" applyNumberFormat="1"/>
    <xf borderId="10" fillId="0" fontId="23" numFmtId="3" xfId="0" applyAlignment="1" applyBorder="1" applyFont="1" applyNumberFormat="1">
      <alignment readingOrder="0" shrinkToFit="0" wrapText="1"/>
    </xf>
    <xf borderId="10" fillId="0" fontId="16" numFmtId="3" xfId="0" applyAlignment="1" applyBorder="1" applyFont="1" applyNumberFormat="1">
      <alignment readingOrder="0" shrinkToFit="0" wrapText="1"/>
    </xf>
    <xf borderId="10" fillId="0" fontId="1" numFmtId="1" xfId="0" applyAlignment="1" applyBorder="1" applyFont="1" applyNumberFormat="1">
      <alignment readingOrder="0"/>
    </xf>
    <xf borderId="0" fillId="0" fontId="2" numFmtId="9" xfId="0" applyAlignment="1" applyFont="1" applyNumberFormat="1">
      <alignment readingOrder="0"/>
    </xf>
    <xf borderId="7" fillId="10" fontId="16" numFmtId="0" xfId="0" applyAlignment="1" applyBorder="1" applyFont="1">
      <alignment horizontal="center"/>
    </xf>
    <xf borderId="7" fillId="4" fontId="16" numFmtId="0" xfId="0" applyAlignment="1" applyBorder="1" applyFont="1">
      <alignment horizontal="center"/>
    </xf>
    <xf borderId="7" fillId="20" fontId="16" numFmtId="0" xfId="0" applyAlignment="1" applyBorder="1" applyFill="1" applyFont="1">
      <alignment horizontal="center"/>
    </xf>
    <xf borderId="10" fillId="20" fontId="16" numFmtId="0" xfId="0" applyAlignment="1" applyBorder="1" applyFont="1">
      <alignment horizontal="center"/>
    </xf>
    <xf borderId="7" fillId="12" fontId="16" numFmtId="0" xfId="0" applyAlignment="1" applyBorder="1" applyFont="1">
      <alignment horizontal="center"/>
    </xf>
    <xf borderId="0" fillId="4" fontId="16" numFmtId="0" xfId="0" applyAlignment="1" applyFont="1">
      <alignment horizontal="center"/>
    </xf>
    <xf borderId="10" fillId="21" fontId="16" numFmtId="0" xfId="0" applyBorder="1" applyFill="1" applyFont="1"/>
    <xf borderId="10" fillId="21" fontId="16" numFmtId="0" xfId="0" applyAlignment="1" applyBorder="1" applyFont="1">
      <alignment readingOrder="0"/>
    </xf>
    <xf borderId="10" fillId="21" fontId="16" numFmtId="10" xfId="0" applyAlignment="1" applyBorder="1" applyFont="1" applyNumberFormat="1">
      <alignment readingOrder="0"/>
    </xf>
    <xf borderId="10" fillId="21" fontId="16" numFmtId="0" xfId="0" applyAlignment="1" applyBorder="1" applyFont="1">
      <alignment readingOrder="0" shrinkToFit="0" wrapText="1"/>
    </xf>
    <xf borderId="0" fillId="21" fontId="16" numFmtId="0" xfId="0" applyAlignment="1" applyFont="1">
      <alignment readingOrder="0"/>
    </xf>
    <xf borderId="10" fillId="0" fontId="0" numFmtId="10" xfId="0" applyAlignment="1" applyBorder="1" applyFont="1" applyNumberFormat="1">
      <alignment readingOrder="0"/>
    </xf>
    <xf borderId="10" fillId="0" fontId="3" numFmtId="3" xfId="0" applyAlignment="1" applyBorder="1" applyFont="1" applyNumberFormat="1">
      <alignment horizontal="right" readingOrder="0" shrinkToFit="0" vertical="bottom" wrapText="0"/>
    </xf>
    <xf borderId="10" fillId="15" fontId="23" numFmtId="9" xfId="0" applyBorder="1" applyFont="1" applyNumberFormat="1"/>
    <xf borderId="10" fillId="22" fontId="2" numFmtId="10" xfId="0" applyAlignment="1" applyBorder="1" applyFill="1" applyFont="1" applyNumberFormat="1">
      <alignment readingOrder="0"/>
    </xf>
    <xf borderId="10" fillId="10" fontId="23" numFmtId="10" xfId="0" applyBorder="1" applyFont="1" applyNumberFormat="1"/>
    <xf borderId="0" fillId="0" fontId="23" numFmtId="3" xfId="0" applyAlignment="1" applyFont="1" applyNumberFormat="1">
      <alignment readingOrder="0"/>
    </xf>
    <xf borderId="10" fillId="22" fontId="23" numFmtId="10" xfId="0" applyBorder="1" applyFont="1" applyNumberFormat="1"/>
    <xf borderId="10" fillId="23" fontId="23" numFmtId="0" xfId="0" applyAlignment="1" applyBorder="1" applyFill="1" applyFont="1">
      <alignment horizontal="center"/>
    </xf>
    <xf borderId="10" fillId="23" fontId="23" numFmtId="0" xfId="0" applyBorder="1" applyFont="1"/>
    <xf borderId="10" fillId="23" fontId="23" numFmtId="3" xfId="0" applyBorder="1" applyFont="1" applyNumberFormat="1"/>
    <xf borderId="10" fillId="23" fontId="23" numFmtId="3" xfId="0" applyAlignment="1" applyBorder="1" applyFont="1" applyNumberFormat="1">
      <alignment readingOrder="0"/>
    </xf>
    <xf borderId="10" fillId="23" fontId="1" numFmtId="3" xfId="0" applyAlignment="1" applyBorder="1" applyFont="1" applyNumberFormat="1">
      <alignment readingOrder="0"/>
    </xf>
    <xf borderId="10" fillId="23" fontId="23" numFmtId="10" xfId="0" applyBorder="1" applyFont="1" applyNumberFormat="1"/>
    <xf borderId="10" fillId="24" fontId="0" numFmtId="10" xfId="0" applyAlignment="1" applyBorder="1" applyFill="1" applyFont="1" applyNumberFormat="1">
      <alignment readingOrder="0"/>
    </xf>
    <xf borderId="10" fillId="24" fontId="23" numFmtId="3" xfId="0" applyAlignment="1" applyBorder="1" applyFont="1" applyNumberFormat="1">
      <alignment readingOrder="0"/>
    </xf>
    <xf borderId="10" fillId="24" fontId="23" numFmtId="10" xfId="0" applyAlignment="1" applyBorder="1" applyFont="1" applyNumberFormat="1">
      <alignment readingOrder="0"/>
    </xf>
    <xf borderId="10" fillId="23" fontId="23" numFmtId="10" xfId="0" applyAlignment="1" applyBorder="1" applyFont="1" applyNumberFormat="1">
      <alignment readingOrder="0"/>
    </xf>
    <xf borderId="10" fillId="23" fontId="2" numFmtId="3" xfId="0" applyAlignment="1" applyBorder="1" applyFont="1" applyNumberFormat="1">
      <alignment readingOrder="0"/>
    </xf>
    <xf borderId="10" fillId="23" fontId="23" numFmtId="9" xfId="0" applyBorder="1" applyFont="1" applyNumberFormat="1"/>
    <xf borderId="10" fillId="23" fontId="2" numFmtId="0" xfId="0" applyAlignment="1" applyBorder="1" applyFont="1">
      <alignment readingOrder="0"/>
    </xf>
    <xf borderId="0" fillId="23" fontId="2" numFmtId="3" xfId="0" applyAlignment="1" applyFont="1" applyNumberFormat="1">
      <alignment readingOrder="0"/>
    </xf>
    <xf borderId="10" fillId="25" fontId="23" numFmtId="0" xfId="0" applyAlignment="1" applyBorder="1" applyFill="1" applyFont="1">
      <alignment horizontal="center"/>
    </xf>
    <xf borderId="10" fillId="25" fontId="23" numFmtId="0" xfId="0" applyBorder="1" applyFont="1"/>
    <xf borderId="10" fillId="25" fontId="23" numFmtId="3" xfId="0" applyBorder="1" applyFont="1" applyNumberFormat="1"/>
    <xf borderId="10" fillId="25" fontId="23" numFmtId="3" xfId="0" applyAlignment="1" applyBorder="1" applyFont="1" applyNumberFormat="1">
      <alignment readingOrder="0"/>
    </xf>
    <xf borderId="10" fillId="25" fontId="1" numFmtId="3" xfId="0" applyAlignment="1" applyBorder="1" applyFont="1" applyNumberFormat="1">
      <alignment readingOrder="0"/>
    </xf>
    <xf borderId="10" fillId="25" fontId="23" numFmtId="10" xfId="0" applyBorder="1" applyFont="1" applyNumberFormat="1"/>
    <xf borderId="10" fillId="25" fontId="0" numFmtId="10" xfId="0" applyAlignment="1" applyBorder="1" applyFont="1" applyNumberFormat="1">
      <alignment readingOrder="0"/>
    </xf>
    <xf borderId="10" fillId="25" fontId="23" numFmtId="10" xfId="0" applyAlignment="1" applyBorder="1" applyFont="1" applyNumberFormat="1">
      <alignment readingOrder="0"/>
    </xf>
    <xf borderId="10" fillId="25" fontId="2" numFmtId="3" xfId="0" applyAlignment="1" applyBorder="1" applyFont="1" applyNumberFormat="1">
      <alignment readingOrder="0"/>
    </xf>
    <xf borderId="10" fillId="25" fontId="23" numFmtId="9" xfId="0" applyBorder="1" applyFont="1" applyNumberFormat="1"/>
    <xf borderId="10" fillId="25" fontId="2" numFmtId="0" xfId="0" applyAlignment="1" applyBorder="1" applyFont="1">
      <alignment readingOrder="0"/>
    </xf>
    <xf borderId="0" fillId="25" fontId="2" numFmtId="3" xfId="0" applyAlignment="1" applyFont="1" applyNumberFormat="1">
      <alignment readingOrder="0"/>
    </xf>
    <xf borderId="10" fillId="0" fontId="16" numFmtId="0" xfId="0" applyBorder="1" applyFont="1"/>
    <xf borderId="0" fillId="0" fontId="16" numFmtId="3" xfId="0" applyFont="1" applyNumberFormat="1"/>
    <xf borderId="0" fillId="4" fontId="1" numFmtId="0" xfId="0" applyAlignment="1" applyFont="1">
      <alignment horizontal="center" readingOrder="0"/>
    </xf>
    <xf borderId="0" fillId="5" fontId="1" numFmtId="0" xfId="0" applyAlignment="1" applyFont="1">
      <alignment readingOrder="0" shrinkToFit="0" wrapText="1"/>
    </xf>
    <xf borderId="10" fillId="0" fontId="2" numFmtId="0" xfId="0" applyAlignment="1" applyBorder="1" applyFont="1">
      <alignment readingOrder="0" shrinkToFit="0" wrapText="1"/>
    </xf>
    <xf borderId="10" fillId="0" fontId="2" numFmtId="9" xfId="0" applyAlignment="1" applyBorder="1" applyFont="1" applyNumberFormat="1">
      <alignment shrinkToFit="0" wrapText="1"/>
    </xf>
    <xf borderId="10" fillId="0" fontId="2" numFmtId="9" xfId="0" applyBorder="1" applyFont="1" applyNumberFormat="1"/>
    <xf borderId="10" fillId="0" fontId="2" numFmtId="164" xfId="0" applyBorder="1" applyFont="1" applyNumberFormat="1"/>
    <xf borderId="10" fillId="0" fontId="2" numFmtId="0" xfId="0" applyBorder="1" applyFont="1"/>
    <xf borderId="4" fillId="4" fontId="1" numFmtId="0" xfId="0" applyAlignment="1" applyBorder="1" applyFont="1">
      <alignment readingOrder="0"/>
    </xf>
    <xf borderId="10" fillId="4" fontId="2" numFmtId="0" xfId="0" applyBorder="1" applyFont="1"/>
    <xf borderId="0" fillId="4" fontId="2" numFmtId="0" xfId="0" applyFont="1"/>
    <xf borderId="0" fillId="0" fontId="2" numFmtId="0" xfId="0" applyAlignment="1" applyFont="1">
      <alignment shrinkToFit="0" wrapText="1"/>
    </xf>
    <xf borderId="10" fillId="5" fontId="16" numFmtId="0" xfId="0" applyBorder="1" applyFont="1"/>
    <xf borderId="10" fillId="5" fontId="16" numFmtId="0" xfId="0" applyAlignment="1" applyBorder="1" applyFont="1">
      <alignment readingOrder="0"/>
    </xf>
    <xf borderId="8" fillId="0" fontId="8" numFmtId="0" xfId="0" applyAlignment="1" applyBorder="1" applyFont="1">
      <alignment horizontal="center" readingOrder="0" shrinkToFit="0" vertical="bottom" wrapText="0"/>
    </xf>
    <xf borderId="9" fillId="0" fontId="8" numFmtId="0" xfId="0" applyAlignment="1" applyBorder="1" applyFont="1">
      <alignment readingOrder="0" shrinkToFit="0" vertical="bottom" wrapText="0"/>
    </xf>
    <xf borderId="9" fillId="0" fontId="8" numFmtId="0" xfId="0" applyAlignment="1" applyBorder="1" applyFont="1">
      <alignment horizontal="center" readingOrder="0" shrinkToFit="0" vertical="bottom" wrapText="0"/>
    </xf>
    <xf borderId="9" fillId="0" fontId="8" numFmtId="9" xfId="0" applyAlignment="1" applyBorder="1" applyFont="1" applyNumberFormat="1">
      <alignment horizontal="center" readingOrder="0" shrinkToFit="0" vertical="bottom" wrapText="0"/>
    </xf>
    <xf borderId="6" fillId="0" fontId="8" numFmtId="9" xfId="0" applyAlignment="1" applyBorder="1" applyFont="1" applyNumberFormat="1">
      <alignment horizontal="center" readingOrder="0" shrinkToFit="0" vertical="bottom" wrapText="0"/>
    </xf>
    <xf borderId="6" fillId="0" fontId="8" numFmtId="0" xfId="0" applyAlignment="1" applyBorder="1" applyFont="1">
      <alignment horizontal="center" readingOrder="0" shrinkToFit="0" vertical="bottom" wrapText="0"/>
    </xf>
    <xf borderId="9" fillId="0" fontId="8" numFmtId="0" xfId="0" applyAlignment="1" applyBorder="1" applyFont="1">
      <alignment readingOrder="0" shrinkToFit="0" vertical="bottom" wrapText="1"/>
    </xf>
    <xf borderId="8" fillId="26" fontId="8" numFmtId="0" xfId="0" applyAlignment="1" applyBorder="1" applyFill="1" applyFont="1">
      <alignment horizontal="center" readingOrder="0" shrinkToFit="0" vertical="bottom" wrapText="0"/>
    </xf>
    <xf borderId="9" fillId="26" fontId="8" numFmtId="0" xfId="0" applyAlignment="1" applyBorder="1" applyFont="1">
      <alignment readingOrder="0" shrinkToFit="0" vertical="bottom" wrapText="0"/>
    </xf>
    <xf borderId="9" fillId="26" fontId="8" numFmtId="0" xfId="0" applyAlignment="1" applyBorder="1" applyFont="1">
      <alignment horizontal="center" readingOrder="0" shrinkToFit="0" vertical="bottom" wrapText="0"/>
    </xf>
    <xf borderId="9" fillId="26" fontId="8" numFmtId="9" xfId="0" applyAlignment="1" applyBorder="1" applyFont="1" applyNumberFormat="1">
      <alignment horizontal="center" readingOrder="0" shrinkToFit="0" vertical="bottom" wrapText="0"/>
    </xf>
    <xf borderId="8" fillId="0" fontId="8" numFmtId="0" xfId="0" applyAlignment="1" applyBorder="1" applyFont="1">
      <alignment horizontal="center" shrinkToFit="0" vertical="bottom" wrapText="0"/>
    </xf>
    <xf borderId="9" fillId="0" fontId="7" numFmtId="0" xfId="0" applyAlignment="1" applyBorder="1" applyFont="1">
      <alignment readingOrder="0" shrinkToFit="0" vertical="bottom" wrapText="0"/>
    </xf>
    <xf borderId="9" fillId="0" fontId="7" numFmtId="0" xfId="0" applyAlignment="1" applyBorder="1" applyFont="1">
      <alignment horizontal="center" readingOrder="0" shrinkToFit="0" vertical="bottom" wrapText="0"/>
    </xf>
    <xf borderId="9" fillId="0" fontId="7" numFmtId="9" xfId="0" applyAlignment="1" applyBorder="1" applyFont="1" applyNumberFormat="1">
      <alignment horizontal="center" readingOrder="0" shrinkToFit="0" vertical="bottom" wrapText="0"/>
    </xf>
    <xf borderId="8" fillId="0" fontId="16" numFmtId="3" xfId="0" applyAlignment="1" applyBorder="1" applyFont="1" applyNumberFormat="1">
      <alignment readingOrder="0"/>
    </xf>
    <xf borderId="0" fillId="0" fontId="2" numFmtId="0" xfId="0" applyAlignment="1" applyFont="1">
      <alignment horizontal="right"/>
    </xf>
    <xf borderId="7" fillId="4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center" readingOrder="0"/>
    </xf>
    <xf borderId="10" fillId="5" fontId="16" numFmtId="3" xfId="0" applyAlignment="1" applyBorder="1" applyFont="1" applyNumberFormat="1">
      <alignment readingOrder="0"/>
    </xf>
    <xf borderId="8" fillId="5" fontId="18" numFmtId="0" xfId="0" applyAlignment="1" applyBorder="1" applyFont="1">
      <alignment horizontal="right" readingOrder="0" shrinkToFit="0" wrapText="1"/>
    </xf>
    <xf borderId="8" fillId="5" fontId="12" numFmtId="0" xfId="0" applyAlignment="1" applyBorder="1" applyFont="1">
      <alignment horizontal="right" readingOrder="0" shrinkToFit="0" vertical="bottom" wrapText="1"/>
    </xf>
    <xf borderId="9" fillId="5" fontId="12" numFmtId="0" xfId="0" applyAlignment="1" applyBorder="1" applyFont="1">
      <alignment horizontal="right" readingOrder="0" shrinkToFit="0" vertical="bottom" wrapText="1"/>
    </xf>
    <xf borderId="9" fillId="5" fontId="24" numFmtId="0" xfId="0" applyAlignment="1" applyBorder="1" applyFont="1">
      <alignment horizontal="right" readingOrder="0"/>
    </xf>
    <xf borderId="10" fillId="8" fontId="1" numFmtId="0" xfId="0" applyAlignment="1" applyBorder="1" applyFont="1">
      <alignment readingOrder="0" shrinkToFit="0" wrapText="1"/>
    </xf>
    <xf borderId="0" fillId="8" fontId="1" numFmtId="0" xfId="0" applyAlignment="1" applyFont="1">
      <alignment readingOrder="0" shrinkToFit="0" wrapText="1"/>
    </xf>
    <xf borderId="10" fillId="17" fontId="23" numFmtId="0" xfId="0" applyBorder="1" applyFont="1"/>
    <xf borderId="8" fillId="0" fontId="23" numFmtId="9" xfId="0" applyAlignment="1" applyBorder="1" applyFont="1" applyNumberFormat="1">
      <alignment horizontal="right"/>
    </xf>
    <xf borderId="8" fillId="17" fontId="23" numFmtId="3" xfId="0" applyAlignment="1" applyBorder="1" applyFont="1" applyNumberFormat="1">
      <alignment readingOrder="0"/>
    </xf>
    <xf borderId="8" fillId="16" fontId="8" numFmtId="9" xfId="0" applyAlignment="1" applyBorder="1" applyFont="1" applyNumberFormat="1">
      <alignment horizontal="right" readingOrder="0" shrinkToFit="0" vertical="bottom" wrapText="0"/>
    </xf>
    <xf borderId="9" fillId="0" fontId="8" numFmtId="9" xfId="0" applyAlignment="1" applyBorder="1" applyFont="1" applyNumberFormat="1">
      <alignment horizontal="right" readingOrder="0" shrinkToFit="0" vertical="bottom" wrapText="0"/>
    </xf>
    <xf borderId="9" fillId="0" fontId="8" numFmtId="164" xfId="0" applyAlignment="1" applyBorder="1" applyFont="1" applyNumberFormat="1">
      <alignment horizontal="right" readingOrder="0" shrinkToFit="0" vertical="bottom" wrapText="0"/>
    </xf>
    <xf borderId="9" fillId="0" fontId="8" numFmtId="3" xfId="0" applyAlignment="1" applyBorder="1" applyFont="1" applyNumberFormat="1">
      <alignment readingOrder="0" shrinkToFit="0" vertical="bottom" wrapText="0"/>
    </xf>
    <xf borderId="9" fillId="16" fontId="2" numFmtId="9" xfId="0" applyAlignment="1" applyBorder="1" applyFont="1" applyNumberFormat="1">
      <alignment horizontal="right" readingOrder="0"/>
    </xf>
    <xf borderId="9" fillId="0" fontId="2" numFmtId="3" xfId="0" applyAlignment="1" applyBorder="1" applyFont="1" applyNumberFormat="1">
      <alignment horizontal="right" readingOrder="0"/>
    </xf>
    <xf borderId="9" fillId="0" fontId="2" numFmtId="9" xfId="0" applyAlignment="1" applyBorder="1" applyFont="1" applyNumberFormat="1">
      <alignment horizontal="right" readingOrder="0"/>
    </xf>
    <xf borderId="10" fillId="0" fontId="2" numFmtId="9" xfId="0" applyAlignment="1" applyBorder="1" applyFont="1" applyNumberFormat="1">
      <alignment readingOrder="0"/>
    </xf>
    <xf borderId="8" fillId="0" fontId="23" numFmtId="3" xfId="0" applyAlignment="1" applyBorder="1" applyFont="1" applyNumberFormat="1">
      <alignment readingOrder="0"/>
    </xf>
    <xf borderId="8" fillId="0" fontId="8" numFmtId="9" xfId="0" applyAlignment="1" applyBorder="1" applyFont="1" applyNumberFormat="1">
      <alignment horizontal="right" readingOrder="0" shrinkToFit="0" vertical="bottom" wrapText="0"/>
    </xf>
    <xf borderId="9" fillId="0" fontId="8" numFmtId="10" xfId="0" applyAlignment="1" applyBorder="1" applyFont="1" applyNumberFormat="1">
      <alignment horizontal="right" readingOrder="0" shrinkToFit="0" vertical="bottom" wrapText="0"/>
    </xf>
    <xf borderId="10" fillId="2" fontId="23" numFmtId="0" xfId="0" applyAlignment="1" applyBorder="1" applyFont="1">
      <alignment horizontal="center"/>
    </xf>
    <xf borderId="10" fillId="2" fontId="23" numFmtId="0" xfId="0" applyBorder="1" applyFont="1"/>
    <xf borderId="10" fillId="16" fontId="23" numFmtId="0" xfId="0" applyBorder="1" applyFont="1"/>
    <xf borderId="10" fillId="2" fontId="2" numFmtId="3" xfId="0" applyAlignment="1" applyBorder="1" applyFont="1" applyNumberFormat="1">
      <alignment readingOrder="0"/>
    </xf>
    <xf borderId="8" fillId="2" fontId="23" numFmtId="9" xfId="0" applyAlignment="1" applyBorder="1" applyFont="1" applyNumberFormat="1">
      <alignment horizontal="right"/>
    </xf>
    <xf borderId="8" fillId="16" fontId="23" numFmtId="3" xfId="0" applyAlignment="1" applyBorder="1" applyFont="1" applyNumberFormat="1">
      <alignment readingOrder="0"/>
    </xf>
    <xf borderId="9" fillId="2" fontId="8" numFmtId="9" xfId="0" applyAlignment="1" applyBorder="1" applyFont="1" applyNumberFormat="1">
      <alignment horizontal="right" readingOrder="0" shrinkToFit="0" vertical="bottom" wrapText="0"/>
    </xf>
    <xf borderId="10" fillId="2" fontId="2" numFmtId="0" xfId="0" applyAlignment="1" applyBorder="1" applyFont="1">
      <alignment readingOrder="0"/>
    </xf>
    <xf borderId="0" fillId="2" fontId="2" numFmtId="0" xfId="0" applyAlignment="1" applyFont="1">
      <alignment readingOrder="0"/>
    </xf>
    <xf borderId="10" fillId="21" fontId="23" numFmtId="0" xfId="0" applyAlignment="1" applyBorder="1" applyFont="1">
      <alignment horizontal="center"/>
    </xf>
    <xf borderId="10" fillId="21" fontId="23" numFmtId="0" xfId="0" applyBorder="1" applyFont="1"/>
    <xf borderId="10" fillId="5" fontId="2" numFmtId="3" xfId="0" applyAlignment="1" applyBorder="1" applyFont="1" applyNumberFormat="1">
      <alignment readingOrder="0"/>
    </xf>
    <xf borderId="10" fillId="5" fontId="23" numFmtId="3" xfId="0" applyBorder="1" applyFont="1" applyNumberFormat="1"/>
    <xf borderId="10" fillId="5" fontId="23" numFmtId="9" xfId="0" applyBorder="1" applyFont="1" applyNumberFormat="1"/>
    <xf borderId="8" fillId="21" fontId="23" numFmtId="9" xfId="0" applyAlignment="1" applyBorder="1" applyFont="1" applyNumberFormat="1">
      <alignment horizontal="right"/>
    </xf>
    <xf borderId="8" fillId="8" fontId="8" numFmtId="9" xfId="0" applyAlignment="1" applyBorder="1" applyFont="1" applyNumberFormat="1">
      <alignment horizontal="right" readingOrder="0" shrinkToFit="0" vertical="bottom" wrapText="0"/>
    </xf>
    <xf borderId="9" fillId="5" fontId="8" numFmtId="3" xfId="0" applyAlignment="1" applyBorder="1" applyFont="1" applyNumberFormat="1">
      <alignment horizontal="right" readingOrder="0" shrinkToFit="0" vertical="bottom" wrapText="0"/>
    </xf>
    <xf borderId="9" fillId="5" fontId="8" numFmtId="164" xfId="0" applyAlignment="1" applyBorder="1" applyFont="1" applyNumberFormat="1">
      <alignment horizontal="right" readingOrder="0" shrinkToFit="0" vertical="bottom" wrapText="0"/>
    </xf>
    <xf borderId="9" fillId="5" fontId="8" numFmtId="9" xfId="0" applyAlignment="1" applyBorder="1" applyFont="1" applyNumberFormat="1">
      <alignment horizontal="right" readingOrder="0" shrinkToFit="0" vertical="bottom" wrapText="0"/>
    </xf>
    <xf borderId="9" fillId="21" fontId="8" numFmtId="9" xfId="0" applyAlignment="1" applyBorder="1" applyFont="1" applyNumberFormat="1">
      <alignment horizontal="right" readingOrder="0" shrinkToFit="0" vertical="bottom" wrapText="0"/>
    </xf>
    <xf borderId="9" fillId="5" fontId="8" numFmtId="3" xfId="0" applyAlignment="1" applyBorder="1" applyFont="1" applyNumberFormat="1">
      <alignment readingOrder="0" shrinkToFit="0" vertical="bottom" wrapText="0"/>
    </xf>
    <xf borderId="10" fillId="5" fontId="2" numFmtId="3" xfId="0" applyBorder="1" applyFont="1" applyNumberFormat="1"/>
    <xf borderId="10" fillId="21" fontId="2" numFmtId="0" xfId="0" applyAlignment="1" applyBorder="1" applyFont="1">
      <alignment readingOrder="0"/>
    </xf>
    <xf borderId="10" fillId="21" fontId="2" numFmtId="3" xfId="0" applyAlignment="1" applyBorder="1" applyFont="1" applyNumberFormat="1">
      <alignment readingOrder="0"/>
    </xf>
    <xf borderId="10" fillId="21" fontId="23" numFmtId="3" xfId="0" applyBorder="1" applyFont="1" applyNumberFormat="1"/>
    <xf borderId="10" fillId="21" fontId="23" numFmtId="9" xfId="0" applyBorder="1" applyFont="1" applyNumberFormat="1"/>
    <xf borderId="8" fillId="21" fontId="23" numFmtId="3" xfId="0" applyAlignment="1" applyBorder="1" applyFont="1" applyNumberFormat="1">
      <alignment readingOrder="0"/>
    </xf>
    <xf borderId="8" fillId="21" fontId="8" numFmtId="9" xfId="0" applyAlignment="1" applyBorder="1" applyFont="1" applyNumberFormat="1">
      <alignment horizontal="right" readingOrder="0" shrinkToFit="0" vertical="bottom" wrapText="0"/>
    </xf>
    <xf borderId="9" fillId="16" fontId="8" numFmtId="9" xfId="0" applyAlignment="1" applyBorder="1" applyFont="1" applyNumberFormat="1">
      <alignment horizontal="right" readingOrder="0" shrinkToFit="0" vertical="bottom" wrapText="0"/>
    </xf>
    <xf borderId="9" fillId="21" fontId="8" numFmtId="164" xfId="0" applyAlignment="1" applyBorder="1" applyFont="1" applyNumberFormat="1">
      <alignment horizontal="right" readingOrder="0" shrinkToFit="0" vertical="bottom" wrapText="0"/>
    </xf>
    <xf borderId="10" fillId="5" fontId="8" numFmtId="3" xfId="0" applyAlignment="1" applyBorder="1" applyFont="1" applyNumberFormat="1">
      <alignment horizontal="right" shrinkToFit="0" vertical="bottom" wrapText="0"/>
    </xf>
    <xf borderId="0" fillId="21" fontId="2" numFmtId="0" xfId="0" applyAlignment="1" applyFont="1">
      <alignment readingOrder="0"/>
    </xf>
    <xf borderId="8" fillId="0" fontId="8" numFmtId="3" xfId="0" applyAlignment="1" applyBorder="1" applyFont="1" applyNumberFormat="1">
      <alignment horizontal="right" shrinkToFit="0" vertical="bottom" wrapText="0"/>
    </xf>
    <xf borderId="10" fillId="5" fontId="23" numFmtId="0" xfId="0" applyAlignment="1" applyBorder="1" applyFont="1">
      <alignment horizontal="center"/>
    </xf>
    <xf borderId="10" fillId="5" fontId="23" numFmtId="0" xfId="0" applyBorder="1" applyFont="1"/>
    <xf borderId="8" fillId="5" fontId="23" numFmtId="9" xfId="0" applyAlignment="1" applyBorder="1" applyFont="1" applyNumberFormat="1">
      <alignment horizontal="right"/>
    </xf>
    <xf borderId="8" fillId="5" fontId="23" numFmtId="3" xfId="0" applyAlignment="1" applyBorder="1" applyFont="1" applyNumberFormat="1">
      <alignment readingOrder="0"/>
    </xf>
    <xf borderId="8" fillId="5" fontId="8" numFmtId="9" xfId="0" applyAlignment="1" applyBorder="1" applyFont="1" applyNumberFormat="1">
      <alignment horizontal="right" readingOrder="0" shrinkToFit="0" vertical="bottom" wrapText="0"/>
    </xf>
    <xf borderId="8" fillId="5" fontId="8" numFmtId="3" xfId="0" applyAlignment="1" applyBorder="1" applyFont="1" applyNumberFormat="1">
      <alignment horizontal="right" shrinkToFit="0" vertical="bottom" wrapText="0"/>
    </xf>
    <xf borderId="10" fillId="5" fontId="2" numFmtId="0" xfId="0" applyAlignment="1" applyBorder="1" applyFont="1">
      <alignment readingOrder="0"/>
    </xf>
    <xf borderId="0" fillId="5" fontId="2" numFmtId="0" xfId="0" applyAlignment="1" applyFont="1">
      <alignment readingOrder="0"/>
    </xf>
    <xf borderId="10" fillId="7" fontId="23" numFmtId="0" xfId="0" applyBorder="1" applyFont="1"/>
    <xf borderId="10" fillId="7" fontId="23" numFmtId="9" xfId="0" applyBorder="1" applyFont="1" applyNumberFormat="1"/>
    <xf borderId="8" fillId="7" fontId="23" numFmtId="3" xfId="0" applyAlignment="1" applyBorder="1" applyFont="1" applyNumberFormat="1">
      <alignment readingOrder="0"/>
    </xf>
    <xf borderId="9" fillId="21" fontId="8" numFmtId="3" xfId="0" applyAlignment="1" applyBorder="1" applyFont="1" applyNumberFormat="1">
      <alignment horizontal="right" readingOrder="0" shrinkToFit="0" vertical="bottom" wrapText="0"/>
    </xf>
    <xf borderId="9" fillId="5" fontId="8" numFmtId="10" xfId="0" applyAlignment="1" applyBorder="1" applyFont="1" applyNumberFormat="1">
      <alignment horizontal="right" readingOrder="0" shrinkToFit="0" vertical="bottom" wrapText="0"/>
    </xf>
    <xf borderId="9" fillId="5" fontId="2" numFmtId="9" xfId="0" applyAlignment="1" applyBorder="1" applyFont="1" applyNumberFormat="1">
      <alignment horizontal="right" readingOrder="0"/>
    </xf>
    <xf borderId="8" fillId="0" fontId="23" numFmtId="9" xfId="0" applyAlignment="1" applyBorder="1" applyFont="1" applyNumberFormat="1">
      <alignment horizontal="right" readingOrder="0"/>
    </xf>
    <xf borderId="9" fillId="21" fontId="2" numFmtId="9" xfId="0" applyAlignment="1" applyBorder="1" applyFont="1" applyNumberFormat="1">
      <alignment horizontal="right" readingOrder="0"/>
    </xf>
    <xf borderId="8" fillId="2" fontId="8" numFmtId="9" xfId="0" applyAlignment="1" applyBorder="1" applyFont="1" applyNumberFormat="1">
      <alignment horizontal="right" readingOrder="0" shrinkToFit="0" vertical="bottom" wrapText="0"/>
    </xf>
    <xf borderId="9" fillId="21" fontId="8" numFmtId="3" xfId="0" applyAlignment="1" applyBorder="1" applyFont="1" applyNumberFormat="1">
      <alignment readingOrder="0" shrinkToFit="0" vertical="bottom" wrapText="0"/>
    </xf>
    <xf borderId="8" fillId="21" fontId="8" numFmtId="3" xfId="0" applyAlignment="1" applyBorder="1" applyFont="1" applyNumberFormat="1">
      <alignment horizontal="right" shrinkToFit="0" vertical="bottom" wrapText="0"/>
    </xf>
    <xf borderId="8" fillId="0" fontId="16" numFmtId="9" xfId="0" applyAlignment="1" applyBorder="1" applyFont="1" applyNumberFormat="1">
      <alignment horizontal="right"/>
    </xf>
    <xf borderId="8" fillId="0" fontId="7" numFmtId="9" xfId="0" applyAlignment="1" applyBorder="1" applyFont="1" applyNumberFormat="1">
      <alignment horizontal="right" readingOrder="0" shrinkToFit="0" vertical="bottom" wrapText="0"/>
    </xf>
    <xf borderId="9" fillId="0" fontId="7" numFmtId="9" xfId="0" applyAlignment="1" applyBorder="1" applyFont="1" applyNumberFormat="1">
      <alignment horizontal="right" readingOrder="0" shrinkToFit="0" vertical="bottom" wrapText="0"/>
    </xf>
    <xf borderId="10" fillId="0" fontId="7" numFmtId="3" xfId="0" applyAlignment="1" applyBorder="1" applyFont="1" applyNumberFormat="1">
      <alignment horizontal="right" shrinkToFit="0" vertical="bottom" wrapText="0"/>
    </xf>
    <xf borderId="9" fillId="16" fontId="1" numFmtId="9" xfId="0" applyAlignment="1" applyBorder="1" applyFont="1" applyNumberFormat="1">
      <alignment horizontal="right" readingOrder="0"/>
    </xf>
    <xf borderId="9" fillId="0" fontId="1" numFmtId="3" xfId="0" applyAlignment="1" applyBorder="1" applyFont="1" applyNumberFormat="1">
      <alignment horizontal="right" readingOrder="0"/>
    </xf>
    <xf borderId="10" fillId="0" fontId="1" numFmtId="0" xfId="0" applyAlignment="1" applyBorder="1" applyFont="1">
      <alignment readingOrder="0" shrinkToFit="0" wrapText="1"/>
    </xf>
    <xf borderId="0" fillId="0" fontId="2" numFmtId="10" xfId="0" applyAlignment="1" applyFont="1" applyNumberFormat="1">
      <alignment horizontal="right"/>
    </xf>
    <xf borderId="10" fillId="0" fontId="15" numFmtId="0" xfId="0" applyAlignment="1" applyBorder="1" applyFont="1">
      <alignment readingOrder="0"/>
    </xf>
    <xf borderId="10" fillId="0" fontId="15" numFmtId="0" xfId="0" applyAlignment="1" applyBorder="1" applyFont="1">
      <alignment readingOrder="0" shrinkToFit="0" wrapText="1"/>
    </xf>
    <xf borderId="10" fillId="0" fontId="24" numFmtId="0" xfId="0" applyAlignment="1" applyBorder="1" applyFont="1">
      <alignment readingOrder="0" shrinkToFit="0" wrapText="1"/>
    </xf>
    <xf borderId="0" fillId="0" fontId="15" numFmtId="0" xfId="0" applyAlignment="1" applyFont="1">
      <alignment readingOrder="0" shrinkToFit="0" wrapText="1"/>
    </xf>
    <xf borderId="10" fillId="0" fontId="2" numFmtId="0" xfId="0" applyAlignment="1" applyBorder="1" applyFont="1">
      <alignment horizontal="center" readingOrder="0"/>
    </xf>
    <xf borderId="10" fillId="0" fontId="2" numFmtId="0" xfId="0" applyAlignment="1" applyBorder="1" applyFont="1">
      <alignment horizontal="center"/>
    </xf>
    <xf borderId="10" fillId="0" fontId="23" numFmtId="3" xfId="0" applyAlignment="1" applyBorder="1" applyFont="1" applyNumberFormat="1">
      <alignment horizontal="center" readingOrder="0"/>
    </xf>
    <xf borderId="10" fillId="0" fontId="2" numFmtId="9" xfId="0" applyAlignment="1" applyBorder="1" applyFont="1" applyNumberFormat="1">
      <alignment horizontal="center"/>
    </xf>
    <xf borderId="4" fillId="4" fontId="16" numFmtId="0" xfId="0" applyAlignment="1" applyBorder="1" applyFont="1">
      <alignment shrinkToFit="0" wrapText="1"/>
    </xf>
    <xf borderId="7" fillId="4" fontId="16" numFmtId="0" xfId="0" applyAlignment="1" applyBorder="1" applyFont="1">
      <alignment horizontal="left" shrinkToFit="0" wrapText="1"/>
    </xf>
    <xf borderId="0" fillId="0" fontId="16" numFmtId="0" xfId="0" applyAlignment="1" applyFont="1">
      <alignment horizontal="center" readingOrder="0" shrinkToFit="0" wrapText="1"/>
    </xf>
    <xf borderId="0" fillId="0" fontId="16" numFmtId="0" xfId="0" applyFont="1"/>
    <xf borderId="10" fillId="0" fontId="23" numFmtId="164" xfId="0" applyBorder="1" applyFont="1" applyNumberFormat="1"/>
    <xf borderId="10" fillId="0" fontId="23" numFmtId="9" xfId="0" applyAlignment="1" applyBorder="1" applyFont="1" applyNumberFormat="1">
      <alignment readingOrder="0"/>
    </xf>
    <xf borderId="0" fillId="0" fontId="23" numFmtId="3" xfId="0" applyFont="1" applyNumberFormat="1"/>
    <xf borderId="16" fillId="0" fontId="23" numFmtId="3" xfId="0" applyBorder="1" applyFont="1" applyNumberFormat="1"/>
    <xf borderId="10" fillId="27" fontId="23" numFmtId="3" xfId="0" applyBorder="1" applyFill="1" applyFont="1" applyNumberFormat="1"/>
    <xf borderId="10" fillId="0" fontId="16" numFmtId="10" xfId="0" applyBorder="1" applyFont="1" applyNumberFormat="1"/>
    <xf borderId="10" fillId="0" fontId="16" numFmtId="164" xfId="0" applyBorder="1" applyFont="1" applyNumberFormat="1"/>
    <xf borderId="10" fillId="0" fontId="16" numFmtId="164" xfId="0" applyAlignment="1" applyBorder="1" applyFont="1" applyNumberFormat="1">
      <alignment readingOrder="0"/>
    </xf>
    <xf borderId="10" fillId="0" fontId="16" numFmtId="9" xfId="0" applyAlignment="1" applyBorder="1" applyFont="1" applyNumberFormat="1">
      <alignment readingOrder="0"/>
    </xf>
    <xf borderId="0" fillId="0" fontId="1" numFmtId="3" xfId="0" applyAlignment="1" applyFont="1" applyNumberFormat="1">
      <alignment readingOrder="0"/>
    </xf>
    <xf borderId="0" fillId="0" fontId="1" numFmtId="3" xfId="0" applyFont="1" applyNumberFormat="1"/>
    <xf borderId="0" fillId="0" fontId="2" numFmtId="164" xfId="0" applyFont="1" applyNumberFormat="1"/>
    <xf borderId="10" fillId="2" fontId="25" numFmtId="0" xfId="0" applyAlignment="1" applyBorder="1" applyFont="1">
      <alignment readingOrder="0"/>
    </xf>
    <xf borderId="0" fillId="4" fontId="1" numFmtId="0" xfId="0" applyAlignment="1" applyFont="1">
      <alignment readingOrder="0"/>
    </xf>
    <xf borderId="10" fillId="0" fontId="16" numFmtId="0" xfId="0" applyAlignment="1" applyBorder="1" applyFont="1">
      <alignment shrinkToFit="0" wrapText="1"/>
    </xf>
    <xf borderId="10" fillId="0" fontId="23" numFmtId="3" xfId="0" applyAlignment="1" applyBorder="1" applyFont="1" applyNumberFormat="1">
      <alignment shrinkToFit="0" wrapText="1"/>
    </xf>
    <xf borderId="10" fillId="0" fontId="16" numFmtId="0" xfId="0" applyAlignment="1" applyBorder="1" applyFont="1">
      <alignment readingOrder="0" shrinkToFit="0" wrapText="1"/>
    </xf>
    <xf borderId="7" fillId="0" fontId="16" numFmtId="0" xfId="0" applyAlignment="1" applyBorder="1" applyFont="1">
      <alignment shrinkToFit="0" vertical="bottom" wrapText="0"/>
    </xf>
    <xf borderId="5" fillId="0" fontId="23" numFmtId="0" xfId="0" applyAlignment="1" applyBorder="1" applyFont="1">
      <alignment vertical="bottom"/>
    </xf>
    <xf borderId="6" fillId="0" fontId="23" numFmtId="0" xfId="0" applyAlignment="1" applyBorder="1" applyFont="1">
      <alignment vertical="bottom"/>
    </xf>
    <xf borderId="8" fillId="4" fontId="23" numFmtId="0" xfId="0" applyAlignment="1" applyBorder="1" applyFont="1">
      <alignment vertical="bottom"/>
    </xf>
    <xf borderId="9" fillId="4" fontId="23" numFmtId="0" xfId="0" applyAlignment="1" applyBorder="1" applyFont="1">
      <alignment vertical="bottom"/>
    </xf>
    <xf borderId="11" fillId="4" fontId="23" numFmtId="0" xfId="0" applyAlignment="1" applyBorder="1" applyFont="1">
      <alignment vertical="bottom"/>
    </xf>
    <xf borderId="9" fillId="4" fontId="16" numFmtId="0" xfId="0" applyAlignment="1" applyBorder="1" applyFont="1">
      <alignment shrinkToFit="0" vertical="bottom" wrapText="1"/>
    </xf>
    <xf borderId="9" fillId="4" fontId="26" numFmtId="0" xfId="0" applyAlignment="1" applyBorder="1" applyFont="1">
      <alignment shrinkToFit="0" vertical="bottom" wrapText="1"/>
    </xf>
    <xf borderId="8" fillId="0" fontId="23" numFmtId="0" xfId="0" applyAlignment="1" applyBorder="1" applyFont="1">
      <alignment vertical="bottom"/>
    </xf>
    <xf borderId="9" fillId="0" fontId="23" numFmtId="0" xfId="0" applyAlignment="1" applyBorder="1" applyFont="1">
      <alignment vertical="bottom"/>
    </xf>
    <xf borderId="9" fillId="0" fontId="23" numFmtId="1" xfId="0" applyAlignment="1" applyBorder="1" applyFont="1" applyNumberFormat="1">
      <alignment horizontal="right" vertical="bottom"/>
    </xf>
    <xf borderId="14" fillId="0" fontId="27" numFmtId="0" xfId="0" applyAlignment="1" applyBorder="1" applyFont="1">
      <alignment shrinkToFit="0" vertical="bottom" wrapText="0"/>
    </xf>
    <xf borderId="11" fillId="0" fontId="23" numFmtId="0" xfId="0" applyAlignment="1" applyBorder="1" applyFont="1">
      <alignment vertical="bottom"/>
    </xf>
    <xf borderId="14" fillId="0" fontId="23" numFmtId="0" xfId="0" applyAlignment="1" applyBorder="1" applyFont="1">
      <alignment vertical="bottom"/>
    </xf>
    <xf borderId="0" fillId="0" fontId="13" numFmtId="0" xfId="0" applyAlignment="1" applyFont="1">
      <alignment horizontal="center" readingOrder="0"/>
    </xf>
    <xf borderId="10" fillId="4" fontId="13" numFmtId="0" xfId="0" applyAlignment="1" applyBorder="1" applyFont="1">
      <alignment readingOrder="0"/>
    </xf>
    <xf borderId="7" fillId="4" fontId="13" numFmtId="0" xfId="0" applyAlignment="1" applyBorder="1" applyFont="1">
      <alignment horizontal="center" readingOrder="0"/>
    </xf>
    <xf borderId="10" fillId="4" fontId="13" numFmtId="0" xfId="0" applyAlignment="1" applyBorder="1" applyFont="1">
      <alignment horizontal="center" readingOrder="0"/>
    </xf>
    <xf borderId="10" fillId="5" fontId="13" numFmtId="0" xfId="0" applyBorder="1" applyFont="1"/>
    <xf borderId="10" fillId="5" fontId="13" numFmtId="0" xfId="0" applyAlignment="1" applyBorder="1" applyFont="1">
      <alignment readingOrder="0" shrinkToFit="0" wrapText="1"/>
    </xf>
    <xf borderId="10" fillId="0" fontId="0" numFmtId="0" xfId="0" applyAlignment="1" applyBorder="1" applyFont="1">
      <alignment readingOrder="0"/>
    </xf>
    <xf borderId="10" fillId="0" fontId="0" numFmtId="9" xfId="0" applyAlignment="1" applyBorder="1" applyFont="1" applyNumberFormat="1">
      <alignment readingOrder="0"/>
    </xf>
    <xf borderId="10" fillId="0" fontId="0" numFmtId="0" xfId="0" applyBorder="1" applyFont="1"/>
    <xf borderId="10" fillId="0" fontId="0" numFmtId="164" xfId="0" applyAlignment="1" applyBorder="1" applyFont="1" applyNumberFormat="1">
      <alignment readingOrder="0"/>
    </xf>
    <xf borderId="10" fillId="5" fontId="0" numFmtId="0" xfId="0" applyBorder="1" applyFont="1"/>
    <xf borderId="10" fillId="5" fontId="0" numFmtId="0" xfId="0" applyAlignment="1" applyBorder="1" applyFont="1">
      <alignment readingOrder="0"/>
    </xf>
    <xf borderId="10" fillId="5" fontId="0" numFmtId="9" xfId="0" applyAlignment="1" applyBorder="1" applyFont="1" applyNumberFormat="1">
      <alignment readingOrder="0"/>
    </xf>
    <xf borderId="10" fillId="5" fontId="0" numFmtId="10" xfId="0" applyAlignment="1" applyBorder="1" applyFont="1" applyNumberFormat="1">
      <alignment readingOrder="0"/>
    </xf>
    <xf borderId="10" fillId="5" fontId="0" numFmtId="3" xfId="0" applyAlignment="1" applyBorder="1" applyFont="1" applyNumberFormat="1">
      <alignment readingOrder="0"/>
    </xf>
    <xf borderId="10" fillId="5" fontId="23" numFmtId="3" xfId="0" applyAlignment="1" applyBorder="1" applyFont="1" applyNumberFormat="1">
      <alignment readingOrder="0"/>
    </xf>
    <xf borderId="10" fillId="5" fontId="0" numFmtId="164" xfId="0" applyAlignment="1" applyBorder="1" applyFont="1" applyNumberFormat="1">
      <alignment readingOrder="0"/>
    </xf>
    <xf borderId="0" fillId="5" fontId="0" numFmtId="0" xfId="0" applyFont="1"/>
    <xf borderId="10" fillId="5" fontId="23" numFmtId="3" xfId="0" applyAlignment="1" applyBorder="1" applyFont="1" applyNumberFormat="1">
      <alignment horizontal="right" vertical="bottom"/>
    </xf>
    <xf borderId="6" fillId="5" fontId="23" numFmtId="3" xfId="0" applyAlignment="1" applyBorder="1" applyFont="1" applyNumberFormat="1">
      <alignment horizontal="right" vertical="bottom"/>
    </xf>
    <xf borderId="10" fillId="0" fontId="0" numFmtId="0" xfId="0" applyAlignment="1" applyBorder="1" applyFont="1">
      <alignment readingOrder="0" vertical="bottom"/>
    </xf>
    <xf borderId="10" fillId="5" fontId="0" numFmtId="0" xfId="0" applyAlignment="1" applyBorder="1" applyFont="1">
      <alignment readingOrder="0" vertical="bottom"/>
    </xf>
    <xf borderId="10" fillId="0" fontId="0" numFmtId="0" xfId="0" applyAlignment="1" applyBorder="1" applyFont="1">
      <alignment vertical="bottom"/>
    </xf>
    <xf borderId="4" fillId="0" fontId="16" numFmtId="0" xfId="0" applyBorder="1" applyFont="1"/>
    <xf borderId="4" fillId="0" fontId="16" numFmtId="0" xfId="0" applyAlignment="1" applyBorder="1" applyFont="1">
      <alignment horizontal="center" shrinkToFit="0" wrapText="1"/>
    </xf>
    <xf borderId="10" fillId="0" fontId="16" numFmtId="0" xfId="0" applyAlignment="1" applyBorder="1" applyFont="1">
      <alignment horizontal="center" shrinkToFit="0" wrapText="1"/>
    </xf>
    <xf borderId="7" fillId="0" fontId="16" numFmtId="0" xfId="0" applyAlignment="1" applyBorder="1" applyFont="1">
      <alignment horizontal="center"/>
    </xf>
    <xf borderId="7" fillId="0" fontId="16" numFmtId="0" xfId="0" applyAlignment="1" applyBorder="1" applyFont="1">
      <alignment horizontal="left" readingOrder="0" shrinkToFit="0" wrapText="0"/>
    </xf>
    <xf borderId="5" fillId="0" fontId="16" numFmtId="0" xfId="0" applyAlignment="1" applyBorder="1" applyFont="1">
      <alignment horizontal="center" readingOrder="0"/>
    </xf>
    <xf borderId="6" fillId="0" fontId="16" numFmtId="0" xfId="0" applyAlignment="1" applyBorder="1" applyFont="1">
      <alignment horizontal="center" readingOrder="0"/>
    </xf>
    <xf borderId="8" fillId="0" fontId="16" numFmtId="0" xfId="0" applyAlignment="1" applyBorder="1" applyFont="1">
      <alignment readingOrder="0" shrinkToFit="0" wrapText="1"/>
    </xf>
    <xf borderId="8" fillId="0" fontId="7" numFmtId="0" xfId="0" applyAlignment="1" applyBorder="1" applyFont="1">
      <alignment readingOrder="0" shrinkToFit="0" vertical="bottom" wrapText="1"/>
    </xf>
    <xf borderId="9" fillId="0" fontId="7" numFmtId="0" xfId="0" applyAlignment="1" applyBorder="1" applyFont="1">
      <alignment readingOrder="0" shrinkToFit="0" vertical="bottom" wrapText="1"/>
    </xf>
    <xf borderId="9" fillId="0" fontId="1" numFmtId="0" xfId="0" applyAlignment="1" applyBorder="1" applyFont="1">
      <alignment readingOrder="0"/>
    </xf>
    <xf borderId="8" fillId="0" fontId="23" numFmtId="9" xfId="0" applyBorder="1" applyFont="1" applyNumberFormat="1"/>
    <xf borderId="9" fillId="0" fontId="8" numFmtId="9" xfId="0" applyAlignment="1" applyBorder="1" applyFont="1" applyNumberFormat="1">
      <alignment readingOrder="0" shrinkToFit="0" vertical="bottom" wrapText="0"/>
    </xf>
    <xf borderId="9" fillId="0" fontId="2" numFmtId="9" xfId="0" applyAlignment="1" applyBorder="1" applyFont="1" applyNumberFormat="1">
      <alignment readingOrder="0"/>
    </xf>
    <xf borderId="9" fillId="0" fontId="8" numFmtId="10" xfId="0" applyAlignment="1" applyBorder="1" applyFont="1" applyNumberFormat="1">
      <alignment readingOrder="0" shrinkToFit="0" vertical="bottom" wrapText="0"/>
    </xf>
    <xf borderId="9" fillId="0" fontId="8" numFmtId="164" xfId="0" applyAlignment="1" applyBorder="1" applyFont="1" applyNumberFormat="1">
      <alignment readingOrder="0" shrinkToFit="0" vertical="bottom" wrapText="0"/>
    </xf>
    <xf borderId="10" fillId="0" fontId="8" numFmtId="3" xfId="0" applyAlignment="1" applyBorder="1" applyFont="1" applyNumberFormat="1">
      <alignment horizontal="right" shrinkToFit="0" vertical="bottom" wrapText="0"/>
    </xf>
    <xf borderId="8" fillId="0" fontId="23" numFmtId="9" xfId="0" applyAlignment="1" applyBorder="1" applyFont="1" applyNumberFormat="1">
      <alignment readingOrder="0"/>
    </xf>
    <xf borderId="8" fillId="0" fontId="16" numFmtId="9" xfId="0" applyBorder="1" applyFont="1" applyNumberFormat="1"/>
    <xf borderId="9" fillId="0" fontId="7" numFmtId="9" xfId="0" applyAlignment="1" applyBorder="1" applyFont="1" applyNumberFormat="1">
      <alignment readingOrder="0" shrinkToFit="0" vertical="bottom" wrapText="0"/>
    </xf>
    <xf borderId="9" fillId="0" fontId="1" numFmtId="9" xfId="0" applyAlignment="1" applyBorder="1" applyFont="1" applyNumberFormat="1">
      <alignment readingOrder="0"/>
    </xf>
    <xf borderId="0" fillId="0" fontId="8" numFmtId="0" xfId="0" applyAlignment="1" applyFont="1">
      <alignment horizontal="right" readingOrder="0" shrinkToFit="0" vertical="bottom" wrapText="0"/>
    </xf>
    <xf borderId="0" fillId="0" fontId="7" numFmtId="0" xfId="0" applyAlignment="1" applyFont="1">
      <alignment horizontal="right" readingOrder="0" shrinkToFit="0" vertical="bottom" wrapText="0"/>
    </xf>
    <xf borderId="0" fillId="0" fontId="8" numFmtId="3" xfId="0" applyAlignment="1" applyFont="1" applyNumberFormat="1">
      <alignment horizontal="right" readingOrder="0" shrinkToFit="0" vertical="bottom" wrapText="0"/>
    </xf>
    <xf borderId="4" fillId="4" fontId="7" numFmtId="0" xfId="0" applyAlignment="1" applyBorder="1" applyFont="1">
      <alignment readingOrder="0" shrinkToFit="0" textRotation="0" vertical="bottom" wrapText="1"/>
    </xf>
    <xf borderId="9" fillId="21" fontId="7" numFmtId="0" xfId="0" applyAlignment="1" applyBorder="1" applyFont="1">
      <alignment readingOrder="0" vertical="bottom"/>
    </xf>
    <xf borderId="9" fillId="21" fontId="7" numFmtId="0" xfId="0" applyAlignment="1" applyBorder="1" applyFont="1">
      <alignment readingOrder="0" shrinkToFit="0" vertical="bottom" wrapText="0"/>
    </xf>
    <xf borderId="10" fillId="21" fontId="7" numFmtId="0" xfId="0" applyAlignment="1" applyBorder="1" applyFont="1">
      <alignment readingOrder="0" shrinkToFit="0" vertical="bottom" wrapText="0"/>
    </xf>
    <xf borderId="10" fillId="21" fontId="1" numFmtId="0" xfId="0" applyAlignment="1" applyBorder="1" applyFont="1">
      <alignment readingOrder="0"/>
    </xf>
    <xf borderId="9" fillId="0" fontId="8" numFmtId="3" xfId="0" applyAlignment="1" applyBorder="1" applyFont="1" applyNumberFormat="1">
      <alignment shrinkToFit="0" vertical="bottom" wrapText="0"/>
    </xf>
    <xf borderId="8" fillId="4" fontId="7" numFmtId="0" xfId="0" applyAlignment="1" applyBorder="1" applyFont="1">
      <alignment readingOrder="0" vertical="bottom"/>
    </xf>
    <xf borderId="9" fillId="0" fontId="7" numFmtId="3" xfId="0" applyAlignment="1" applyBorder="1" applyFont="1" applyNumberFormat="1">
      <alignment shrinkToFit="0" vertical="bottom" wrapText="0"/>
    </xf>
    <xf borderId="0" fillId="0" fontId="28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 readingOrder="0" shrinkToFit="0" wrapText="1"/>
    </xf>
    <xf borderId="0" fillId="0" fontId="28" numFmtId="0" xfId="0" applyAlignment="1" applyFont="1">
      <alignment horizontal="center" readingOrder="0" shrinkToFit="0" wrapText="1"/>
    </xf>
    <xf borderId="10" fillId="0" fontId="3" numFmtId="0" xfId="0" applyAlignment="1" applyBorder="1" applyFont="1">
      <alignment horizontal="left" readingOrder="0" shrinkToFit="0" wrapText="1"/>
    </xf>
    <xf borderId="10" fillId="0" fontId="3" numFmtId="3" xfId="0" applyAlignment="1" applyBorder="1" applyFont="1" applyNumberFormat="1">
      <alignment horizontal="left" readingOrder="0" shrinkToFit="0" wrapText="1"/>
    </xf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horizontal="center" readingOrder="0" shrinkToFit="0" wrapText="1"/>
    </xf>
    <xf borderId="0" fillId="0" fontId="7" numFmtId="0" xfId="0" applyAlignment="1" applyFont="1">
      <alignment readingOrder="0" shrinkToFit="0" textRotation="0" vertical="bottom" wrapText="1"/>
    </xf>
    <xf borderId="0" fillId="0" fontId="7" numFmtId="0" xfId="0" applyAlignment="1" applyFont="1">
      <alignment horizontal="center" readingOrder="0" shrinkToFit="0" textRotation="0" vertical="bottom" wrapText="1"/>
    </xf>
    <xf borderId="7" fillId="4" fontId="7" numFmtId="0" xfId="0" applyAlignment="1" applyBorder="1" applyFont="1">
      <alignment horizontal="center" readingOrder="0" shrinkToFit="0" textRotation="0" vertical="bottom" wrapText="1"/>
    </xf>
    <xf borderId="5" fillId="4" fontId="7" numFmtId="0" xfId="0" applyAlignment="1" applyBorder="1" applyFont="1">
      <alignment horizontal="center" readingOrder="0" shrinkToFit="0" textRotation="0" vertical="bottom" wrapText="1"/>
    </xf>
    <xf borderId="6" fillId="4" fontId="7" numFmtId="0" xfId="0" applyAlignment="1" applyBorder="1" applyFont="1">
      <alignment horizontal="center" readingOrder="0" shrinkToFit="0" textRotation="0" vertical="bottom" wrapText="1"/>
    </xf>
    <xf borderId="8" fillId="4" fontId="7" numFmtId="0" xfId="0" applyAlignment="1" applyBorder="1" applyFont="1">
      <alignment readingOrder="0" shrinkToFit="0" textRotation="0" vertical="bottom" wrapText="1"/>
    </xf>
    <xf borderId="10" fillId="0" fontId="1" numFmtId="0" xfId="0" applyAlignment="1" applyBorder="1" applyFont="1">
      <alignment readingOrder="0"/>
    </xf>
    <xf borderId="10" fillId="0" fontId="8" numFmtId="0" xfId="0" applyAlignment="1" applyBorder="1" applyFont="1">
      <alignment readingOrder="0" shrinkToFit="0" vertical="bottom" wrapText="1"/>
    </xf>
  </cellXfs>
  <cellStyles count="1">
    <cellStyle xfId="0" name="Normal" builtinId="0"/>
  </cellStyles>
  <dxfs count="4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customschemas.google.com/relationships/workbookmetadata" Target="metadata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strRef>
              <c:f>'A.Table 1 - source'!$F$4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'A.Table 1 - source'!$F$5:$F$10</c:f>
              <c:numCache/>
            </c:numRef>
          </c:val>
        </c:ser>
        <c:ser>
          <c:idx val="1"/>
          <c:order val="1"/>
          <c:tx>
            <c:strRef>
              <c:f>'A.Table 1 - source'!$G$4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'A.Table 1 - source'!$G$5:$G$10</c:f>
              <c:numCache/>
            </c:numRef>
          </c:val>
        </c:ser>
        <c:ser>
          <c:idx val="2"/>
          <c:order val="2"/>
          <c:tx>
            <c:strRef>
              <c:f>'A.Table 1 - source'!$H$4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'A.Table 1 - source'!$H$5:$H$10</c:f>
              <c:numCache/>
            </c:numRef>
          </c:val>
        </c:ser>
        <c:overlap val="100"/>
        <c:axId val="427482416"/>
        <c:axId val="1507308789"/>
      </c:barChart>
      <c:catAx>
        <c:axId val="42748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7308789"/>
      </c:catAx>
      <c:valAx>
        <c:axId val="15073087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748241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</c:spPr>
          </c:dPt>
          <c:dPt>
            <c:idx val="1"/>
            <c:spPr>
              <a:solidFill>
                <a:srgbClr val="ED7D31"/>
              </a:solidFill>
            </c:spPr>
          </c:dPt>
          <c:dPt>
            <c:idx val="2"/>
            <c:spPr>
              <a:solidFill>
                <a:srgbClr val="A5A5A5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Pt>
            <c:idx val="4"/>
            <c:spPr>
              <a:solidFill>
                <a:srgbClr val="4472C4"/>
              </a:solidFill>
            </c:spPr>
          </c:dPt>
          <c:dPt>
            <c:idx val="5"/>
            <c:spPr>
              <a:solidFill>
                <a:srgbClr val="70AD47"/>
              </a:solidFill>
            </c:spPr>
          </c:dPt>
          <c:dPt>
            <c:idx val="6"/>
            <c:spPr>
              <a:solidFill>
                <a:srgbClr val="8CB9E2"/>
              </a:solidFill>
            </c:spPr>
          </c:dPt>
          <c:dPt>
            <c:idx val="7"/>
            <c:spPr>
              <a:solidFill>
                <a:srgbClr val="F2A46F"/>
              </a:solidFill>
            </c:spPr>
          </c:dPt>
          <c:dPt>
            <c:idx val="8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'A.Table 1 - source'!$A$14:$A$22</c:f>
            </c:strRef>
          </c:cat>
          <c:val>
            <c:numRef>
              <c:f>'A.Table 1 - source'!$B$14:$B$22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Schools with PTR&gt;1:35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'Charts 1'!$B$3</c:f>
            </c:strRef>
          </c:tx>
          <c:dPt>
            <c:idx val="0"/>
            <c:spPr>
              <a:solidFill>
                <a:srgbClr val="5B9BD5"/>
              </a:solidFill>
            </c:spPr>
          </c:dPt>
          <c:dPt>
            <c:idx val="1"/>
            <c:spPr>
              <a:solidFill>
                <a:srgbClr val="9FC5E8"/>
              </a:solidFill>
            </c:spPr>
          </c:dPt>
          <c:dPt>
            <c:idx val="2"/>
            <c:spPr>
              <a:solidFill>
                <a:srgbClr val="F9CB9C"/>
              </a:solidFill>
            </c:spPr>
          </c:dPt>
          <c:dPt>
            <c:idx val="3"/>
            <c:spPr>
              <a:solidFill>
                <a:srgbClr val="EA9999"/>
              </a:solidFill>
            </c:spPr>
          </c:dPt>
          <c:dPt>
            <c:idx val="4"/>
            <c:spPr>
              <a:solidFill>
                <a:srgbClr val="EAD1DC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'Charts 1'!$A$4:$A$8</c:f>
            </c:strRef>
          </c:cat>
          <c:val>
            <c:numRef>
              <c:f>'Charts 1'!$B$4:$B$8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Schools with PTR&lt;1:30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'Charts 1'!$B$11:$B$12</c:f>
            </c:strRef>
          </c:tx>
          <c:dPt>
            <c:idx val="0"/>
            <c:spPr>
              <a:solidFill>
                <a:srgbClr val="5B9BD5"/>
              </a:solidFill>
            </c:spPr>
          </c:dPt>
          <c:dPt>
            <c:idx val="1"/>
            <c:spPr>
              <a:solidFill>
                <a:srgbClr val="9FC5E8"/>
              </a:solidFill>
            </c:spPr>
          </c:dPt>
          <c:dPt>
            <c:idx val="2"/>
            <c:spPr>
              <a:solidFill>
                <a:srgbClr val="F9CB9C"/>
              </a:solidFill>
            </c:spPr>
          </c:dPt>
          <c:dPt>
            <c:idx val="3"/>
            <c:spPr>
              <a:solidFill>
                <a:srgbClr val="EA9999"/>
              </a:solidFill>
            </c:spPr>
          </c:dPt>
          <c:dPt>
            <c:idx val="4"/>
            <c:spPr>
              <a:solidFill>
                <a:srgbClr val="F4CCCC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'Charts 1'!$A$13:$A$17</c:f>
            </c:strRef>
          </c:cat>
          <c:val>
            <c:numRef>
              <c:f>'Charts 1'!$B$13:$B$17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Number of teachers by school type (grades and levels) and rural or urban location, 2021-22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v>Rural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'Charts 2'!$A$3:$A$6</c:f>
            </c:strRef>
          </c:cat>
          <c:val>
            <c:numRef>
              <c:f>'Charts 2'!$B$3:$B$6</c:f>
              <c:numCache/>
            </c:numRef>
          </c:val>
        </c:ser>
        <c:ser>
          <c:idx val="1"/>
          <c:order val="1"/>
          <c:tx>
            <c:v>Urban</c:v>
          </c:tx>
          <c:spPr>
            <a:solidFill>
              <a:srgbClr val="9FC5E8"/>
            </a:solidFill>
            <a:ln cmpd="sng">
              <a:solidFill>
                <a:srgbClr val="000000"/>
              </a:solidFill>
            </a:ln>
          </c:spPr>
          <c:cat>
            <c:strRef>
              <c:f>'Charts 2'!$A$3:$A$6</c:f>
            </c:strRef>
          </c:cat>
          <c:val>
            <c:numRef>
              <c:f>'Charts 2'!$C$3:$C$6</c:f>
              <c:numCache/>
            </c:numRef>
          </c:val>
        </c:ser>
        <c:overlap val="100"/>
        <c:axId val="11535493"/>
        <c:axId val="161109623"/>
      </c:barChart>
      <c:catAx>
        <c:axId val="1153549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1109623"/>
      </c:catAx>
      <c:valAx>
        <c:axId val="161109623"/>
        <c:scaling>
          <c:orientation val="minMax"/>
          <c:max val="50000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35493"/>
        <c:crosses val="max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314325</xdr:colOff>
      <xdr:row>1</xdr:row>
      <xdr:rowOff>0</xdr:rowOff>
    </xdr:from>
    <xdr:ext cx="3133725" cy="1933575"/>
    <xdr:graphicFrame>
      <xdr:nvGraphicFramePr>
        <xdr:cNvPr id="613718531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314325</xdr:colOff>
      <xdr:row>11</xdr:row>
      <xdr:rowOff>95250</xdr:rowOff>
    </xdr:from>
    <xdr:ext cx="3343275" cy="2085975"/>
    <xdr:graphicFrame>
      <xdr:nvGraphicFramePr>
        <xdr:cNvPr id="479680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800100</xdr:colOff>
      <xdr:row>1</xdr:row>
      <xdr:rowOff>95250</xdr:rowOff>
    </xdr:from>
    <xdr:ext cx="5715000" cy="3533775"/>
    <xdr:graphicFrame>
      <xdr:nvGraphicFramePr>
        <xdr:cNvPr id="567462170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23</xdr:col>
      <xdr:colOff>219075</xdr:colOff>
      <xdr:row>0</xdr:row>
      <xdr:rowOff>123825</xdr:rowOff>
    </xdr:from>
    <xdr:ext cx="5086350" cy="3143250"/>
    <xdr:graphicFrame>
      <xdr:nvGraphicFramePr>
        <xdr:cNvPr id="778902883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22</xdr:col>
      <xdr:colOff>1152525</xdr:colOff>
      <xdr:row>17</xdr:row>
      <xdr:rowOff>76200</xdr:rowOff>
    </xdr:from>
    <xdr:ext cx="5715000" cy="3533775"/>
    <xdr:graphicFrame>
      <xdr:nvGraphicFramePr>
        <xdr:cNvPr id="57835797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2.v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1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3.14"/>
    <col customWidth="1" min="2" max="2" width="36.86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4" t="s">
        <v>3</v>
      </c>
    </row>
    <row r="5">
      <c r="A5" s="4" t="s">
        <v>4</v>
      </c>
    </row>
    <row r="6">
      <c r="A6" s="4" t="s">
        <v>5</v>
      </c>
    </row>
    <row r="7">
      <c r="A7" s="5" t="s">
        <v>6</v>
      </c>
    </row>
    <row r="8">
      <c r="A8" s="6" t="s">
        <v>7</v>
      </c>
    </row>
    <row r="9">
      <c r="A9" s="5" t="s">
        <v>8</v>
      </c>
    </row>
    <row r="10">
      <c r="A10" s="5" t="s">
        <v>9</v>
      </c>
    </row>
    <row r="11">
      <c r="A11" s="7"/>
    </row>
    <row r="12">
      <c r="A12" s="7"/>
    </row>
    <row r="13">
      <c r="A13" s="7"/>
    </row>
    <row r="15">
      <c r="A15" s="2" t="s">
        <v>10</v>
      </c>
    </row>
    <row r="18">
      <c r="A18" s="8" t="s">
        <v>11</v>
      </c>
    </row>
    <row r="19">
      <c r="A19" s="9" t="s">
        <v>12</v>
      </c>
    </row>
    <row r="20">
      <c r="A20" s="2" t="s">
        <v>13</v>
      </c>
      <c r="B20" s="2" t="s">
        <v>14</v>
      </c>
      <c r="C20" s="2" t="s">
        <v>15</v>
      </c>
    </row>
    <row r="21">
      <c r="A21" s="2" t="s">
        <v>16</v>
      </c>
      <c r="B21" s="2" t="s">
        <v>17</v>
      </c>
    </row>
    <row r="22">
      <c r="A22" s="2" t="s">
        <v>18</v>
      </c>
      <c r="B22" s="2" t="s">
        <v>19</v>
      </c>
    </row>
    <row r="23">
      <c r="A23" s="2" t="s">
        <v>20</v>
      </c>
      <c r="B23" s="2" t="s">
        <v>21</v>
      </c>
    </row>
    <row r="24">
      <c r="A24" s="2" t="s">
        <v>22</v>
      </c>
      <c r="B24" s="2" t="s">
        <v>23</v>
      </c>
    </row>
    <row r="25">
      <c r="A25" s="2" t="s">
        <v>24</v>
      </c>
    </row>
    <row r="26">
      <c r="A26" s="2" t="s">
        <v>25</v>
      </c>
      <c r="B26" s="2" t="s">
        <v>26</v>
      </c>
    </row>
    <row r="27">
      <c r="A27" s="2" t="s">
        <v>27</v>
      </c>
      <c r="B27" s="2" t="s">
        <v>28</v>
      </c>
    </row>
    <row r="28">
      <c r="A28" s="2" t="s">
        <v>29</v>
      </c>
    </row>
    <row r="29">
      <c r="A29" s="2" t="s">
        <v>30</v>
      </c>
    </row>
    <row r="30">
      <c r="A30" s="2" t="s">
        <v>31</v>
      </c>
    </row>
    <row r="31">
      <c r="A31" s="2" t="s">
        <v>32</v>
      </c>
    </row>
    <row r="32">
      <c r="A32" s="2" t="s">
        <v>33</v>
      </c>
    </row>
    <row r="33">
      <c r="A33" s="2" t="s">
        <v>34</v>
      </c>
      <c r="D33" s="2">
        <v>641846.0</v>
      </c>
    </row>
    <row r="34">
      <c r="A34" s="2" t="s">
        <v>35</v>
      </c>
      <c r="D34" s="2">
        <v>180844.0</v>
      </c>
    </row>
    <row r="35">
      <c r="A35" s="2" t="s">
        <v>36</v>
      </c>
      <c r="D35" s="2">
        <v>144764.0</v>
      </c>
    </row>
    <row r="36">
      <c r="D36" s="10">
        <f>sum(D33:D35)</f>
        <v>967454</v>
      </c>
    </row>
    <row r="39">
      <c r="A39" s="11" t="s">
        <v>37</v>
      </c>
      <c r="B39" s="2">
        <v>1.0</v>
      </c>
      <c r="C39" s="2" t="s">
        <v>38</v>
      </c>
    </row>
    <row r="40">
      <c r="A40" s="12" t="s">
        <v>39</v>
      </c>
      <c r="B40" s="2">
        <v>2.0</v>
      </c>
      <c r="C40" s="2" t="s">
        <v>40</v>
      </c>
    </row>
    <row r="41">
      <c r="A41" s="12" t="s">
        <v>41</v>
      </c>
      <c r="B41" s="2">
        <v>3.0</v>
      </c>
      <c r="C41" s="2" t="s">
        <v>38</v>
      </c>
    </row>
    <row r="42">
      <c r="A42" s="12" t="s">
        <v>42</v>
      </c>
      <c r="B42" s="2">
        <v>4.0</v>
      </c>
      <c r="C42" s="2" t="s">
        <v>43</v>
      </c>
    </row>
    <row r="43">
      <c r="A43" s="12" t="s">
        <v>44</v>
      </c>
      <c r="B43" s="2">
        <v>5.0</v>
      </c>
      <c r="C43" s="2" t="s">
        <v>45</v>
      </c>
    </row>
    <row r="44">
      <c r="A44" s="12" t="s">
        <v>46</v>
      </c>
      <c r="B44" s="2">
        <v>6.0</v>
      </c>
      <c r="C44" s="2" t="s">
        <v>38</v>
      </c>
    </row>
    <row r="45">
      <c r="A45" s="13" t="s">
        <v>47</v>
      </c>
      <c r="B45" s="2">
        <v>7.0</v>
      </c>
      <c r="C45" s="2" t="s">
        <v>40</v>
      </c>
    </row>
    <row r="46">
      <c r="A46" s="12" t="s">
        <v>48</v>
      </c>
      <c r="B46" s="2">
        <v>8.0</v>
      </c>
      <c r="C46" s="2" t="s">
        <v>28</v>
      </c>
    </row>
    <row r="47">
      <c r="A47" s="12" t="s">
        <v>49</v>
      </c>
      <c r="B47" s="2">
        <v>90.0</v>
      </c>
      <c r="C47" s="2" t="s">
        <v>40</v>
      </c>
    </row>
    <row r="48">
      <c r="A48" s="12" t="s">
        <v>50</v>
      </c>
      <c r="B48" s="2">
        <v>91.0</v>
      </c>
      <c r="C48" s="2" t="s">
        <v>40</v>
      </c>
    </row>
    <row r="49">
      <c r="A49" s="12" t="s">
        <v>51</v>
      </c>
      <c r="B49" s="2">
        <v>92.0</v>
      </c>
      <c r="C49" s="2" t="s">
        <v>40</v>
      </c>
    </row>
    <row r="50">
      <c r="A50" s="12" t="s">
        <v>52</v>
      </c>
      <c r="B50" s="2">
        <v>93.0</v>
      </c>
      <c r="C50" s="2" t="s">
        <v>40</v>
      </c>
    </row>
    <row r="51">
      <c r="A51" s="12" t="s">
        <v>53</v>
      </c>
      <c r="B51" s="2">
        <v>94.0</v>
      </c>
      <c r="C51" s="2" t="s">
        <v>40</v>
      </c>
    </row>
    <row r="52">
      <c r="A52" s="12" t="s">
        <v>54</v>
      </c>
      <c r="B52" s="2">
        <v>95.0</v>
      </c>
      <c r="C52" s="2" t="s">
        <v>40</v>
      </c>
    </row>
    <row r="53">
      <c r="A53" s="12" t="s">
        <v>55</v>
      </c>
      <c r="B53" s="2">
        <v>96.0</v>
      </c>
      <c r="C53" s="2" t="s">
        <v>40</v>
      </c>
    </row>
    <row r="54">
      <c r="A54" s="12" t="s">
        <v>56</v>
      </c>
      <c r="B54" s="2">
        <v>97.0</v>
      </c>
      <c r="C54" s="2" t="s">
        <v>57</v>
      </c>
    </row>
    <row r="55">
      <c r="A55" s="14" t="s">
        <v>58</v>
      </c>
      <c r="B55" s="2">
        <v>98.0</v>
      </c>
      <c r="C55" s="2" t="s">
        <v>59</v>
      </c>
    </row>
    <row r="56">
      <c r="A56" s="15" t="s">
        <v>60</v>
      </c>
      <c r="B56" s="2">
        <v>101.0</v>
      </c>
      <c r="C56" s="2" t="s">
        <v>40</v>
      </c>
    </row>
    <row r="64">
      <c r="C64" s="2">
        <v>1.0</v>
      </c>
      <c r="D64" s="2">
        <v>2.0</v>
      </c>
      <c r="E64" s="2">
        <v>3.0</v>
      </c>
      <c r="F64" s="2">
        <v>4.0</v>
      </c>
      <c r="G64" s="2">
        <v>5.0</v>
      </c>
      <c r="H64" s="2">
        <v>6.0</v>
      </c>
      <c r="I64" s="2">
        <v>7.0</v>
      </c>
      <c r="J64" s="2">
        <v>8.0</v>
      </c>
      <c r="K64" s="2">
        <v>90.0</v>
      </c>
      <c r="L64" s="2">
        <v>91.0</v>
      </c>
      <c r="M64" s="2">
        <v>92.0</v>
      </c>
      <c r="N64" s="2">
        <v>93.0</v>
      </c>
      <c r="O64" s="2">
        <v>94.0</v>
      </c>
      <c r="P64" s="2">
        <v>95.0</v>
      </c>
      <c r="Q64" s="2">
        <v>96.0</v>
      </c>
      <c r="R64" s="2">
        <v>97.0</v>
      </c>
      <c r="S64" s="2">
        <v>98.0</v>
      </c>
      <c r="T64" s="2">
        <v>101.0</v>
      </c>
    </row>
    <row r="65">
      <c r="C65" s="2" t="s">
        <v>38</v>
      </c>
      <c r="D65" s="2" t="s">
        <v>40</v>
      </c>
      <c r="E65" s="2" t="s">
        <v>38</v>
      </c>
      <c r="F65" s="2" t="s">
        <v>43</v>
      </c>
      <c r="G65" s="2" t="s">
        <v>45</v>
      </c>
      <c r="H65" s="2" t="s">
        <v>38</v>
      </c>
      <c r="I65" s="2" t="s">
        <v>40</v>
      </c>
      <c r="J65" s="2" t="s">
        <v>28</v>
      </c>
      <c r="K65" s="2" t="s">
        <v>40</v>
      </c>
      <c r="L65" s="2" t="s">
        <v>40</v>
      </c>
      <c r="M65" s="2" t="s">
        <v>40</v>
      </c>
      <c r="N65" s="2" t="s">
        <v>40</v>
      </c>
      <c r="O65" s="2" t="s">
        <v>40</v>
      </c>
      <c r="P65" s="2" t="s">
        <v>40</v>
      </c>
      <c r="Q65" s="2" t="s">
        <v>40</v>
      </c>
      <c r="R65" s="2" t="s">
        <v>57</v>
      </c>
      <c r="S65" s="2" t="s">
        <v>59</v>
      </c>
      <c r="T65" s="2" t="s">
        <v>40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4.43" defaultRowHeight="15.0"/>
  <cols>
    <col customWidth="1" min="1" max="2" width="8.71"/>
    <col customWidth="1" min="3" max="3" width="26.43"/>
    <col customWidth="1" min="4" max="4" width="9.86"/>
    <col customWidth="1" min="5" max="5" width="8.71"/>
    <col customWidth="1" min="6" max="7" width="9.71"/>
    <col customWidth="1" min="8" max="8" width="8.71"/>
    <col customWidth="1" min="9" max="9" width="10.86"/>
    <col customWidth="1" min="10" max="11" width="8.71"/>
    <col customWidth="1" min="12" max="12" width="11.0"/>
    <col customWidth="1" min="13" max="14" width="10.57"/>
    <col customWidth="1" min="15" max="33" width="9.71"/>
    <col customWidth="1" min="34" max="34" width="12.57"/>
    <col customWidth="1" min="35" max="35" width="14.14"/>
    <col customWidth="1" min="36" max="36" width="13.86"/>
    <col customWidth="1" min="37" max="37" width="10.43"/>
    <col customWidth="1" min="38" max="38" width="14.14"/>
    <col customWidth="1" min="39" max="44" width="8.71"/>
  </cols>
  <sheetData>
    <row r="1" ht="14.25" customHeight="1">
      <c r="A1" s="310" t="s">
        <v>6</v>
      </c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</row>
    <row r="2" ht="14.25" customHeight="1">
      <c r="L2" s="103"/>
      <c r="AD2" s="103"/>
      <c r="AE2" s="103"/>
      <c r="AF2" s="103"/>
      <c r="AG2" s="103"/>
    </row>
    <row r="3" ht="14.25" customHeight="1">
      <c r="A3" s="167" t="s">
        <v>110</v>
      </c>
      <c r="B3" s="167" t="s">
        <v>111</v>
      </c>
      <c r="C3" s="168" t="s">
        <v>112</v>
      </c>
      <c r="D3" s="266" t="s">
        <v>94</v>
      </c>
      <c r="E3" s="317" t="s">
        <v>329</v>
      </c>
      <c r="F3" s="20"/>
      <c r="G3" s="20"/>
      <c r="H3" s="21"/>
      <c r="I3" s="317" t="s">
        <v>330</v>
      </c>
      <c r="J3" s="20"/>
      <c r="K3" s="21"/>
      <c r="L3" s="412" t="s">
        <v>331</v>
      </c>
      <c r="M3" s="21"/>
      <c r="N3" s="317" t="s">
        <v>332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1"/>
      <c r="AN3" s="413"/>
      <c r="AO3" s="413"/>
      <c r="AP3" s="413"/>
      <c r="AQ3" s="413"/>
      <c r="AR3" s="413"/>
    </row>
    <row r="4" ht="28.5" customHeight="1">
      <c r="A4" s="23"/>
      <c r="B4" s="23"/>
      <c r="C4" s="23"/>
      <c r="D4" s="156" t="s">
        <v>333</v>
      </c>
      <c r="E4" s="393" t="s">
        <v>67</v>
      </c>
      <c r="F4" s="393" t="s">
        <v>284</v>
      </c>
      <c r="G4" s="393" t="s">
        <v>285</v>
      </c>
      <c r="H4" s="414" t="s">
        <v>334</v>
      </c>
      <c r="I4" s="393" t="s">
        <v>67</v>
      </c>
      <c r="J4" s="393" t="s">
        <v>335</v>
      </c>
      <c r="K4" s="393" t="s">
        <v>285</v>
      </c>
      <c r="L4" s="393" t="s">
        <v>67</v>
      </c>
      <c r="M4" s="156" t="s">
        <v>336</v>
      </c>
      <c r="N4" s="415" t="s">
        <v>285</v>
      </c>
      <c r="O4" s="415" t="s">
        <v>337</v>
      </c>
      <c r="P4" s="416" t="s">
        <v>38</v>
      </c>
      <c r="Q4" s="416" t="s">
        <v>338</v>
      </c>
      <c r="R4" s="417" t="s">
        <v>73</v>
      </c>
      <c r="S4" s="417" t="s">
        <v>73</v>
      </c>
      <c r="T4" s="417" t="s">
        <v>42</v>
      </c>
      <c r="U4" s="417" t="s">
        <v>42</v>
      </c>
      <c r="V4" s="417" t="s">
        <v>74</v>
      </c>
      <c r="W4" s="417" t="s">
        <v>74</v>
      </c>
      <c r="X4" s="417" t="s">
        <v>75</v>
      </c>
      <c r="Y4" s="417" t="s">
        <v>75</v>
      </c>
      <c r="Z4" s="417" t="s">
        <v>48</v>
      </c>
      <c r="AA4" s="417" t="s">
        <v>48</v>
      </c>
      <c r="AB4" s="418" t="s">
        <v>68</v>
      </c>
      <c r="AC4" s="418" t="s">
        <v>339</v>
      </c>
      <c r="AD4" s="418" t="s">
        <v>91</v>
      </c>
      <c r="AE4" s="418" t="s">
        <v>340</v>
      </c>
      <c r="AF4" s="418" t="s">
        <v>230</v>
      </c>
      <c r="AG4" s="418" t="s">
        <v>341</v>
      </c>
      <c r="AH4" s="161" t="s">
        <v>342</v>
      </c>
      <c r="AI4" s="161" t="s">
        <v>343</v>
      </c>
      <c r="AJ4" s="161" t="s">
        <v>344</v>
      </c>
      <c r="AK4" s="161" t="s">
        <v>345</v>
      </c>
      <c r="AL4" s="161" t="s">
        <v>346</v>
      </c>
      <c r="AM4" s="161" t="s">
        <v>347</v>
      </c>
      <c r="AN4" s="419" t="s">
        <v>348</v>
      </c>
      <c r="AO4" s="419" t="s">
        <v>349</v>
      </c>
      <c r="AP4" s="419" t="s">
        <v>350</v>
      </c>
      <c r="AQ4" s="420" t="s">
        <v>351</v>
      </c>
      <c r="AR4" s="420"/>
    </row>
    <row r="5" ht="14.25" customHeight="1">
      <c r="A5" s="181" t="s">
        <v>146</v>
      </c>
      <c r="B5" s="182">
        <v>853.0</v>
      </c>
      <c r="C5" s="421" t="s">
        <v>147</v>
      </c>
      <c r="D5" s="35">
        <v>5281.0</v>
      </c>
      <c r="E5" s="183">
        <v>3967.0</v>
      </c>
      <c r="F5" s="183">
        <v>1485.0</v>
      </c>
      <c r="G5" s="183">
        <v>2482.0</v>
      </c>
      <c r="H5" s="190">
        <f t="shared" ref="H5:H41" si="1">G5/E5</f>
        <v>0.6256617091</v>
      </c>
      <c r="I5" s="183">
        <v>215.0</v>
      </c>
      <c r="J5" s="183">
        <v>59.0</v>
      </c>
      <c r="K5" s="183">
        <v>156.0</v>
      </c>
      <c r="L5" s="183">
        <v>1099.0</v>
      </c>
      <c r="M5" s="217">
        <v>0.20810452565801932</v>
      </c>
      <c r="N5" s="183">
        <v>838.0</v>
      </c>
      <c r="O5" s="422">
        <v>0.7625113739763422</v>
      </c>
      <c r="P5" s="423">
        <v>577.0</v>
      </c>
      <c r="Q5" s="424">
        <v>0.5250227479526842</v>
      </c>
      <c r="R5" s="31">
        <v>18.0</v>
      </c>
      <c r="S5" s="425">
        <v>0.01637852593266606</v>
      </c>
      <c r="T5" s="31">
        <v>2.0</v>
      </c>
      <c r="U5" s="426">
        <v>0.0018198362147406734</v>
      </c>
      <c r="V5" s="31">
        <v>502.0</v>
      </c>
      <c r="W5" s="425">
        <v>0.456778889899909</v>
      </c>
      <c r="X5" s="427">
        <v>0.0</v>
      </c>
      <c r="Y5" s="425">
        <v>0.0</v>
      </c>
      <c r="Z5" s="427">
        <v>0.0</v>
      </c>
      <c r="AA5" s="425">
        <v>0.0</v>
      </c>
      <c r="AB5" s="36">
        <v>780.0</v>
      </c>
      <c r="AC5" s="428">
        <v>0.7097361237488626</v>
      </c>
      <c r="AD5" s="429">
        <v>422.0</v>
      </c>
      <c r="AE5" s="430">
        <f t="shared" ref="AE5:AE22" si="2">AD5/L5</f>
        <v>0.3839854413</v>
      </c>
      <c r="AF5" s="429">
        <v>122.0</v>
      </c>
      <c r="AG5" s="430">
        <f t="shared" ref="AG5:AG22" si="3">AF5/L5</f>
        <v>0.1110100091</v>
      </c>
      <c r="AH5" s="226" t="s">
        <v>352</v>
      </c>
      <c r="AI5" s="226" t="s">
        <v>353</v>
      </c>
      <c r="AJ5" s="226" t="s">
        <v>352</v>
      </c>
      <c r="AK5" s="226">
        <v>81.0</v>
      </c>
      <c r="AL5" s="226" t="s">
        <v>354</v>
      </c>
      <c r="AM5" s="226">
        <v>254.0</v>
      </c>
      <c r="AN5" s="431">
        <f t="shared" ref="AN5:AN22" si="4">AM5/AO5</f>
        <v>0.1727891156</v>
      </c>
      <c r="AO5" s="226">
        <v>1470.0</v>
      </c>
      <c r="AP5" s="226"/>
      <c r="AQ5" s="226"/>
      <c r="AR5" s="2"/>
    </row>
    <row r="6" ht="14.25" customHeight="1">
      <c r="A6" s="181" t="s">
        <v>148</v>
      </c>
      <c r="B6" s="182">
        <v>902.0</v>
      </c>
      <c r="C6" s="182" t="s">
        <v>149</v>
      </c>
      <c r="D6" s="35">
        <v>320724.0</v>
      </c>
      <c r="E6" s="183">
        <v>287723.0</v>
      </c>
      <c r="F6" s="183">
        <v>144541.0</v>
      </c>
      <c r="G6" s="183">
        <v>143182.0</v>
      </c>
      <c r="H6" s="190">
        <f t="shared" si="1"/>
        <v>0.4976383536</v>
      </c>
      <c r="I6" s="183">
        <v>8969.0</v>
      </c>
      <c r="J6" s="183">
        <v>4376.0</v>
      </c>
      <c r="K6" s="183">
        <v>4593.0</v>
      </c>
      <c r="L6" s="183">
        <v>24032.0</v>
      </c>
      <c r="M6" s="190">
        <v>0.07493046981205023</v>
      </c>
      <c r="N6" s="183">
        <v>14272.0</v>
      </c>
      <c r="O6" s="422">
        <v>0.5938748335552596</v>
      </c>
      <c r="P6" s="432">
        <v>8931.0</v>
      </c>
      <c r="Q6" s="433">
        <v>0.37162949400798934</v>
      </c>
      <c r="R6" s="31">
        <v>2257.0</v>
      </c>
      <c r="S6" s="425">
        <v>0.0939164447403462</v>
      </c>
      <c r="T6" s="31">
        <v>513.0</v>
      </c>
      <c r="U6" s="425">
        <v>0.0213465379494008</v>
      </c>
      <c r="V6" s="31">
        <v>12157.0</v>
      </c>
      <c r="W6" s="425">
        <v>0.5058671770972037</v>
      </c>
      <c r="X6" s="31">
        <v>6.0</v>
      </c>
      <c r="Y6" s="434">
        <v>2.496671105193076E-4</v>
      </c>
      <c r="Z6" s="31">
        <v>168.0</v>
      </c>
      <c r="AA6" s="426">
        <v>0.006990679094540613</v>
      </c>
      <c r="AB6" s="36">
        <v>15454.0</v>
      </c>
      <c r="AC6" s="428">
        <v>0.6430592543275633</v>
      </c>
      <c r="AD6" s="429">
        <v>7912.0</v>
      </c>
      <c r="AE6" s="430">
        <f t="shared" si="2"/>
        <v>0.3292276964</v>
      </c>
      <c r="AF6" s="429">
        <v>12059.0</v>
      </c>
      <c r="AG6" s="430">
        <f t="shared" si="3"/>
        <v>0.501789281</v>
      </c>
      <c r="AH6" s="226" t="s">
        <v>355</v>
      </c>
      <c r="AI6" s="226" t="s">
        <v>356</v>
      </c>
      <c r="AJ6" s="226" t="s">
        <v>357</v>
      </c>
      <c r="AK6" s="226">
        <v>316.0</v>
      </c>
      <c r="AL6" s="226" t="s">
        <v>358</v>
      </c>
      <c r="AM6" s="226">
        <v>1161.0</v>
      </c>
      <c r="AN6" s="431">
        <f t="shared" si="4"/>
        <v>0.06562658979</v>
      </c>
      <c r="AO6" s="226">
        <v>17691.0</v>
      </c>
      <c r="AP6" s="226"/>
      <c r="AQ6" s="226"/>
      <c r="AR6" s="2"/>
    </row>
    <row r="7" ht="14.25" customHeight="1">
      <c r="A7" s="435" t="s">
        <v>150</v>
      </c>
      <c r="B7" s="436">
        <v>669.0</v>
      </c>
      <c r="C7" s="437" t="s">
        <v>151</v>
      </c>
      <c r="D7" s="438">
        <v>23707.0</v>
      </c>
      <c r="E7" s="303">
        <v>10897.0</v>
      </c>
      <c r="F7" s="303">
        <v>6095.0</v>
      </c>
      <c r="G7" s="303">
        <v>4802.0</v>
      </c>
      <c r="H7" s="190">
        <f t="shared" si="1"/>
        <v>0.4406717445</v>
      </c>
      <c r="I7" s="303">
        <v>332.0</v>
      </c>
      <c r="J7" s="303">
        <v>145.0</v>
      </c>
      <c r="K7" s="303">
        <v>187.0</v>
      </c>
      <c r="L7" s="303">
        <v>12478.0</v>
      </c>
      <c r="M7" s="213">
        <v>0.5263424305057578</v>
      </c>
      <c r="N7" s="183">
        <v>6513.0</v>
      </c>
      <c r="O7" s="439">
        <v>0.5219586472191057</v>
      </c>
      <c r="P7" s="440">
        <v>8404.0</v>
      </c>
      <c r="Q7" s="424">
        <v>0.6735053694502324</v>
      </c>
      <c r="R7" s="31">
        <v>129.0</v>
      </c>
      <c r="S7" s="441">
        <v>0.010338195223593525</v>
      </c>
      <c r="T7" s="31">
        <v>328.0</v>
      </c>
      <c r="U7" s="441">
        <v>0.026286263824330823</v>
      </c>
      <c r="V7" s="31">
        <v>3366.0</v>
      </c>
      <c r="W7" s="441">
        <v>0.26975476839237056</v>
      </c>
      <c r="X7" s="427">
        <v>0.0</v>
      </c>
      <c r="Y7" s="441">
        <v>0.0</v>
      </c>
      <c r="Z7" s="31">
        <v>251.0</v>
      </c>
      <c r="AA7" s="441">
        <v>0.02011540310947267</v>
      </c>
      <c r="AB7" s="36">
        <v>10437.0</v>
      </c>
      <c r="AC7" s="428">
        <v>0.8364321205321366</v>
      </c>
      <c r="AD7" s="429">
        <v>8991.0</v>
      </c>
      <c r="AE7" s="430">
        <f t="shared" si="2"/>
        <v>0.7205481648</v>
      </c>
      <c r="AF7" s="429">
        <v>1104.0</v>
      </c>
      <c r="AG7" s="430">
        <f t="shared" si="3"/>
        <v>0.08847571726</v>
      </c>
      <c r="AH7" s="442" t="s">
        <v>359</v>
      </c>
      <c r="AI7" s="442" t="s">
        <v>360</v>
      </c>
      <c r="AJ7" s="442" t="s">
        <v>361</v>
      </c>
      <c r="AK7" s="442">
        <v>72.0</v>
      </c>
      <c r="AL7" s="442" t="s">
        <v>362</v>
      </c>
      <c r="AM7" s="442">
        <v>644.0</v>
      </c>
      <c r="AN7" s="431">
        <f t="shared" si="4"/>
        <v>0.6234269119</v>
      </c>
      <c r="AO7" s="442">
        <v>1033.0</v>
      </c>
      <c r="AP7" s="442"/>
      <c r="AQ7" s="442"/>
      <c r="AR7" s="443"/>
    </row>
    <row r="8" ht="14.25" customHeight="1">
      <c r="A8" s="444" t="s">
        <v>150</v>
      </c>
      <c r="B8" s="445">
        <v>848.0</v>
      </c>
      <c r="C8" s="421" t="s">
        <v>152</v>
      </c>
      <c r="D8" s="446">
        <v>352944.0</v>
      </c>
      <c r="E8" s="447">
        <v>281531.0</v>
      </c>
      <c r="F8" s="447">
        <v>168127.0</v>
      </c>
      <c r="G8" s="447">
        <v>113404.0</v>
      </c>
      <c r="H8" s="448">
        <f t="shared" si="1"/>
        <v>0.4028117685</v>
      </c>
      <c r="I8" s="447">
        <v>1766.0</v>
      </c>
      <c r="J8" s="447">
        <v>956.0</v>
      </c>
      <c r="K8" s="447">
        <v>810.0</v>
      </c>
      <c r="L8" s="447">
        <v>69647.0</v>
      </c>
      <c r="M8" s="217">
        <v>0.19733158801396256</v>
      </c>
      <c r="N8" s="183">
        <v>30538.0</v>
      </c>
      <c r="O8" s="449">
        <v>0.438468275733341</v>
      </c>
      <c r="P8" s="423">
        <v>52764.0</v>
      </c>
      <c r="Q8" s="450">
        <v>0.7575918560742028</v>
      </c>
      <c r="R8" s="451">
        <v>172.0</v>
      </c>
      <c r="S8" s="452">
        <v>0.0024695966804026016</v>
      </c>
      <c r="T8" s="451">
        <v>4038.0</v>
      </c>
      <c r="U8" s="453">
        <v>0.05797808950852155</v>
      </c>
      <c r="V8" s="451">
        <v>10696.0</v>
      </c>
      <c r="W8" s="454">
        <v>0.15357445403247807</v>
      </c>
      <c r="X8" s="455">
        <v>0.0</v>
      </c>
      <c r="Y8" s="454">
        <v>0.0</v>
      </c>
      <c r="Z8" s="451">
        <v>1977.0</v>
      </c>
      <c r="AA8" s="453">
        <v>0.02838600370439502</v>
      </c>
      <c r="AB8" s="456">
        <v>64566.0</v>
      </c>
      <c r="AC8" s="428">
        <v>0.9270463910864789</v>
      </c>
      <c r="AD8" s="429">
        <v>43953.0</v>
      </c>
      <c r="AE8" s="430">
        <f t="shared" si="2"/>
        <v>0.6310824587</v>
      </c>
      <c r="AF8" s="429">
        <v>15485.0</v>
      </c>
      <c r="AG8" s="430">
        <f t="shared" si="3"/>
        <v>0.2223354918</v>
      </c>
      <c r="AH8" s="457" t="s">
        <v>363</v>
      </c>
      <c r="AI8" s="457" t="s">
        <v>364</v>
      </c>
      <c r="AJ8" s="457" t="s">
        <v>363</v>
      </c>
      <c r="AK8" s="457">
        <v>450.0</v>
      </c>
      <c r="AL8" s="226" t="s">
        <v>365</v>
      </c>
      <c r="AM8" s="226">
        <v>3807.0</v>
      </c>
      <c r="AN8" s="431">
        <f t="shared" si="4"/>
        <v>0.3544362722</v>
      </c>
      <c r="AO8" s="226">
        <v>10741.0</v>
      </c>
      <c r="AP8" s="226"/>
      <c r="AQ8" s="226"/>
      <c r="AR8" s="2"/>
    </row>
    <row r="9" ht="14.25" customHeight="1">
      <c r="A9" s="444" t="s">
        <v>153</v>
      </c>
      <c r="B9" s="445">
        <v>773.0</v>
      </c>
      <c r="C9" s="445" t="s">
        <v>154</v>
      </c>
      <c r="D9" s="458">
        <v>582876.0</v>
      </c>
      <c r="E9" s="459">
        <v>554921.0</v>
      </c>
      <c r="F9" s="459">
        <v>332508.0</v>
      </c>
      <c r="G9" s="459">
        <v>222413.0</v>
      </c>
      <c r="H9" s="448">
        <f t="shared" si="1"/>
        <v>0.4008011951</v>
      </c>
      <c r="I9" s="459">
        <v>1817.0</v>
      </c>
      <c r="J9" s="459">
        <v>1056.0</v>
      </c>
      <c r="K9" s="459">
        <v>761.0</v>
      </c>
      <c r="L9" s="459">
        <v>26138.0</v>
      </c>
      <c r="M9" s="460">
        <v>0.04484315703511553</v>
      </c>
      <c r="N9" s="447">
        <v>11542.0</v>
      </c>
      <c r="O9" s="449">
        <v>0.4415793098171245</v>
      </c>
      <c r="P9" s="461">
        <v>188.0</v>
      </c>
      <c r="Q9" s="462">
        <v>0.007192593159384804</v>
      </c>
      <c r="R9" s="451">
        <v>80.0</v>
      </c>
      <c r="S9" s="452">
        <v>0.0030606779401637463</v>
      </c>
      <c r="T9" s="451">
        <v>34.0</v>
      </c>
      <c r="U9" s="452">
        <v>0.0013007881245695923</v>
      </c>
      <c r="V9" s="451">
        <v>15877.0</v>
      </c>
      <c r="W9" s="463">
        <v>0.6074297956997475</v>
      </c>
      <c r="X9" s="451">
        <v>79.0</v>
      </c>
      <c r="Y9" s="464">
        <v>0.0030224194659116996</v>
      </c>
      <c r="Z9" s="451">
        <v>9880.0</v>
      </c>
      <c r="AA9" s="453">
        <v>0.37799372561022265</v>
      </c>
      <c r="AB9" s="465">
        <v>19430.0</v>
      </c>
      <c r="AC9" s="428">
        <v>0.7433621547172699</v>
      </c>
      <c r="AD9" s="429">
        <v>22469.0</v>
      </c>
      <c r="AE9" s="430">
        <f t="shared" si="2"/>
        <v>0.859629658</v>
      </c>
      <c r="AF9" s="429">
        <v>735.0</v>
      </c>
      <c r="AG9" s="430">
        <f t="shared" si="3"/>
        <v>0.02811997858</v>
      </c>
      <c r="AH9" s="457" t="s">
        <v>366</v>
      </c>
      <c r="AI9" s="457" t="s">
        <v>367</v>
      </c>
      <c r="AJ9" s="457" t="s">
        <v>368</v>
      </c>
      <c r="AK9" s="457">
        <v>0.0</v>
      </c>
      <c r="AL9" s="457" t="s">
        <v>369</v>
      </c>
      <c r="AM9" s="457">
        <v>38.0</v>
      </c>
      <c r="AN9" s="431">
        <f t="shared" si="4"/>
        <v>0.005985194519</v>
      </c>
      <c r="AO9" s="457">
        <v>6349.0</v>
      </c>
      <c r="AP9" s="457"/>
      <c r="AQ9" s="457"/>
      <c r="AR9" s="466"/>
    </row>
    <row r="10" ht="14.25" customHeight="1">
      <c r="A10" s="181" t="s">
        <v>155</v>
      </c>
      <c r="B10" s="182">
        <v>927.0</v>
      </c>
      <c r="C10" s="421" t="s">
        <v>156</v>
      </c>
      <c r="D10" s="35">
        <v>9345.0</v>
      </c>
      <c r="E10" s="183">
        <v>6847.0</v>
      </c>
      <c r="F10" s="183">
        <v>1212.0</v>
      </c>
      <c r="G10" s="183">
        <v>5635.0</v>
      </c>
      <c r="H10" s="190">
        <f t="shared" si="1"/>
        <v>0.82298817</v>
      </c>
      <c r="I10" s="183">
        <v>223.0</v>
      </c>
      <c r="J10" s="183">
        <v>57.0</v>
      </c>
      <c r="K10" s="183">
        <v>166.0</v>
      </c>
      <c r="L10" s="183">
        <v>2275.0</v>
      </c>
      <c r="M10" s="217">
        <v>0.24344569288389514</v>
      </c>
      <c r="N10" s="183">
        <v>1728.0</v>
      </c>
      <c r="O10" s="422">
        <v>0.7595604395604396</v>
      </c>
      <c r="P10" s="423">
        <v>1622.0</v>
      </c>
      <c r="Q10" s="424">
        <v>0.712967032967033</v>
      </c>
      <c r="R10" s="31">
        <v>9.0</v>
      </c>
      <c r="S10" s="426">
        <v>0.003956043956043956</v>
      </c>
      <c r="T10" s="31">
        <v>75.0</v>
      </c>
      <c r="U10" s="425">
        <v>0.03296703296703297</v>
      </c>
      <c r="V10" s="31">
        <v>495.0</v>
      </c>
      <c r="W10" s="425">
        <v>0.2175824175824176</v>
      </c>
      <c r="X10" s="427">
        <v>0.0</v>
      </c>
      <c r="Y10" s="425">
        <v>0.0</v>
      </c>
      <c r="Z10" s="31">
        <v>74.0</v>
      </c>
      <c r="AA10" s="425">
        <v>0.032527472527472526</v>
      </c>
      <c r="AB10" s="467">
        <v>0.0</v>
      </c>
      <c r="AC10" s="430">
        <v>0.0</v>
      </c>
      <c r="AD10" s="429">
        <v>302.0</v>
      </c>
      <c r="AE10" s="430">
        <f t="shared" si="2"/>
        <v>0.1327472527</v>
      </c>
      <c r="AF10" s="429">
        <v>36.0</v>
      </c>
      <c r="AG10" s="430">
        <f t="shared" si="3"/>
        <v>0.01582417582</v>
      </c>
      <c r="AH10" s="226" t="s">
        <v>156</v>
      </c>
      <c r="AI10" s="226" t="s">
        <v>156</v>
      </c>
      <c r="AJ10" s="226" t="s">
        <v>156</v>
      </c>
      <c r="AK10" s="226">
        <v>1622.0</v>
      </c>
      <c r="AL10" s="226" t="s">
        <v>156</v>
      </c>
      <c r="AM10" s="226">
        <v>1622.0</v>
      </c>
      <c r="AN10" s="431">
        <f t="shared" si="4"/>
        <v>0.3514626219</v>
      </c>
      <c r="AO10" s="226">
        <v>4615.0</v>
      </c>
      <c r="AP10" s="226"/>
      <c r="AQ10" s="226"/>
      <c r="AR10" s="2"/>
    </row>
    <row r="11" ht="14.25" customHeight="1">
      <c r="A11" s="468" t="s">
        <v>146</v>
      </c>
      <c r="B11" s="469">
        <v>843.0</v>
      </c>
      <c r="C11" s="469" t="s">
        <v>157</v>
      </c>
      <c r="D11" s="446">
        <v>260782.0</v>
      </c>
      <c r="E11" s="447">
        <v>234424.0</v>
      </c>
      <c r="F11" s="447">
        <v>127269.0</v>
      </c>
      <c r="G11" s="447">
        <v>107155.0</v>
      </c>
      <c r="H11" s="448">
        <f t="shared" si="1"/>
        <v>0.4570991025</v>
      </c>
      <c r="I11" s="447">
        <v>4918.0</v>
      </c>
      <c r="J11" s="447">
        <v>1888.0</v>
      </c>
      <c r="K11" s="447">
        <v>3030.0</v>
      </c>
      <c r="L11" s="447">
        <v>21440.0</v>
      </c>
      <c r="M11" s="448">
        <v>0.08221426325436572</v>
      </c>
      <c r="N11" s="447">
        <v>14724.0</v>
      </c>
      <c r="O11" s="470">
        <v>0.6867537313432835</v>
      </c>
      <c r="P11" s="471">
        <v>3904.0</v>
      </c>
      <c r="Q11" s="472">
        <v>0.18208955223880596</v>
      </c>
      <c r="R11" s="451">
        <v>239.0</v>
      </c>
      <c r="S11" s="453">
        <v>0.011147388059701493</v>
      </c>
      <c r="T11" s="451">
        <v>301.0</v>
      </c>
      <c r="U11" s="453">
        <v>0.014039179104477611</v>
      </c>
      <c r="V11" s="451">
        <v>16782.0</v>
      </c>
      <c r="W11" s="463">
        <v>0.7827425373134328</v>
      </c>
      <c r="X11" s="451">
        <v>184.0</v>
      </c>
      <c r="Y11" s="453">
        <v>0.008582089552238806</v>
      </c>
      <c r="Z11" s="451">
        <v>30.0</v>
      </c>
      <c r="AA11" s="452">
        <v>0.0013992537313432835</v>
      </c>
      <c r="AB11" s="473">
        <v>11306.0</v>
      </c>
      <c r="AC11" s="428">
        <v>0.5273320895522388</v>
      </c>
      <c r="AD11" s="429">
        <v>9386.0</v>
      </c>
      <c r="AE11" s="430">
        <f t="shared" si="2"/>
        <v>0.4377798507</v>
      </c>
      <c r="AF11" s="429">
        <v>1132.0</v>
      </c>
      <c r="AG11" s="430">
        <f t="shared" si="3"/>
        <v>0.05279850746</v>
      </c>
      <c r="AH11" s="474" t="s">
        <v>370</v>
      </c>
      <c r="AI11" s="474" t="s">
        <v>371</v>
      </c>
      <c r="AJ11" s="474" t="s">
        <v>372</v>
      </c>
      <c r="AK11" s="474">
        <v>7.0</v>
      </c>
      <c r="AL11" s="474" t="s">
        <v>373</v>
      </c>
      <c r="AM11" s="474">
        <v>370.0</v>
      </c>
      <c r="AN11" s="431">
        <f t="shared" si="4"/>
        <v>0.1377513031</v>
      </c>
      <c r="AO11" s="474">
        <v>2686.0</v>
      </c>
      <c r="AP11" s="474"/>
      <c r="AQ11" s="474"/>
      <c r="AR11" s="475"/>
    </row>
    <row r="12" ht="14.25" customHeight="1">
      <c r="A12" s="181" t="s">
        <v>146</v>
      </c>
      <c r="B12" s="182">
        <v>857.0</v>
      </c>
      <c r="C12" s="182" t="s">
        <v>158</v>
      </c>
      <c r="D12" s="35">
        <v>4489.0</v>
      </c>
      <c r="E12" s="183">
        <v>2772.0</v>
      </c>
      <c r="F12" s="183">
        <v>1007.0</v>
      </c>
      <c r="G12" s="183">
        <v>1765.0</v>
      </c>
      <c r="H12" s="190">
        <f t="shared" si="1"/>
        <v>0.6367243867</v>
      </c>
      <c r="I12" s="183">
        <v>150.0</v>
      </c>
      <c r="J12" s="183">
        <v>58.0</v>
      </c>
      <c r="K12" s="183">
        <v>92.0</v>
      </c>
      <c r="L12" s="183">
        <v>1567.0</v>
      </c>
      <c r="M12" s="217">
        <v>0.34907551793272446</v>
      </c>
      <c r="N12" s="183">
        <v>1028.0</v>
      </c>
      <c r="O12" s="422">
        <v>0.6560306317804723</v>
      </c>
      <c r="P12" s="423">
        <v>1278.0</v>
      </c>
      <c r="Q12" s="424">
        <v>0.8155711550733886</v>
      </c>
      <c r="R12" s="31">
        <v>25.0</v>
      </c>
      <c r="S12" s="425">
        <v>0.01595405232929164</v>
      </c>
      <c r="T12" s="31">
        <v>5.0</v>
      </c>
      <c r="U12" s="426">
        <v>0.003190810465858328</v>
      </c>
      <c r="V12" s="31">
        <v>259.0</v>
      </c>
      <c r="W12" s="425">
        <v>0.1652839821314614</v>
      </c>
      <c r="X12" s="31">
        <v>0.0</v>
      </c>
      <c r="Y12" s="425">
        <v>0.0</v>
      </c>
      <c r="Z12" s="427">
        <v>0.0</v>
      </c>
      <c r="AA12" s="425">
        <v>0.0</v>
      </c>
      <c r="AB12" s="467">
        <v>1234.0</v>
      </c>
      <c r="AC12" s="428">
        <v>0.7874920229738354</v>
      </c>
      <c r="AD12" s="429">
        <v>1093.0</v>
      </c>
      <c r="AE12" s="430">
        <f t="shared" si="2"/>
        <v>0.6975111678</v>
      </c>
      <c r="AF12" s="429">
        <v>307.0</v>
      </c>
      <c r="AG12" s="430">
        <f t="shared" si="3"/>
        <v>0.1959157626</v>
      </c>
      <c r="AH12" s="226" t="s">
        <v>374</v>
      </c>
      <c r="AI12" s="226" t="s">
        <v>375</v>
      </c>
      <c r="AJ12" s="226" t="s">
        <v>374</v>
      </c>
      <c r="AK12" s="226">
        <v>120.0</v>
      </c>
      <c r="AL12" s="226" t="s">
        <v>376</v>
      </c>
      <c r="AM12" s="226">
        <v>182.0</v>
      </c>
      <c r="AN12" s="431">
        <f t="shared" si="4"/>
        <v>0.358974359</v>
      </c>
      <c r="AO12" s="226">
        <v>507.0</v>
      </c>
      <c r="AP12" s="226"/>
      <c r="AQ12" s="226"/>
      <c r="AR12" s="2"/>
    </row>
    <row r="13" ht="14.25" customHeight="1">
      <c r="A13" s="181" t="s">
        <v>159</v>
      </c>
      <c r="B13" s="182">
        <v>899.0</v>
      </c>
      <c r="C13" s="182" t="s">
        <v>160</v>
      </c>
      <c r="D13" s="35">
        <v>151600.0</v>
      </c>
      <c r="E13" s="183">
        <v>115338.0</v>
      </c>
      <c r="F13" s="183">
        <v>32162.0</v>
      </c>
      <c r="G13" s="183">
        <v>83176.0</v>
      </c>
      <c r="H13" s="190">
        <f t="shared" si="1"/>
        <v>0.7211500113</v>
      </c>
      <c r="I13" s="183">
        <v>20900.0</v>
      </c>
      <c r="J13" s="183">
        <v>5818.0</v>
      </c>
      <c r="K13" s="183">
        <v>15082.0</v>
      </c>
      <c r="L13" s="183">
        <v>15362.0</v>
      </c>
      <c r="M13" s="190">
        <v>0.10133245382585752</v>
      </c>
      <c r="N13" s="183">
        <v>13190.0</v>
      </c>
      <c r="O13" s="422">
        <v>0.8586121598750163</v>
      </c>
      <c r="P13" s="432">
        <v>3401.0</v>
      </c>
      <c r="Q13" s="433">
        <v>0.22139044395261034</v>
      </c>
      <c r="R13" s="31">
        <v>62.0</v>
      </c>
      <c r="S13" s="426">
        <v>0.004035932821247233</v>
      </c>
      <c r="T13" s="31">
        <v>75.0</v>
      </c>
      <c r="U13" s="426">
        <v>0.004882176799895847</v>
      </c>
      <c r="V13" s="31">
        <v>11824.0</v>
      </c>
      <c r="W13" s="463">
        <v>0.7696914464262465</v>
      </c>
      <c r="X13" s="427">
        <v>0.0</v>
      </c>
      <c r="Y13" s="425">
        <v>0.0</v>
      </c>
      <c r="Z13" s="427">
        <v>0.0</v>
      </c>
      <c r="AA13" s="425">
        <v>0.0</v>
      </c>
      <c r="AB13" s="467">
        <v>370.0</v>
      </c>
      <c r="AC13" s="430">
        <v>0.024085405546152846</v>
      </c>
      <c r="AD13" s="429">
        <v>4607.0</v>
      </c>
      <c r="AE13" s="430">
        <f t="shared" si="2"/>
        <v>0.2998958469</v>
      </c>
      <c r="AF13" s="429">
        <v>649.0</v>
      </c>
      <c r="AG13" s="430">
        <f t="shared" si="3"/>
        <v>0.04224710324</v>
      </c>
      <c r="AH13" s="226" t="s">
        <v>377</v>
      </c>
      <c r="AI13" s="226" t="s">
        <v>378</v>
      </c>
      <c r="AJ13" s="226" t="s">
        <v>377</v>
      </c>
      <c r="AK13" s="226">
        <v>75.0</v>
      </c>
      <c r="AL13" s="226" t="s">
        <v>379</v>
      </c>
      <c r="AM13" s="226">
        <v>716.0</v>
      </c>
      <c r="AN13" s="431">
        <f t="shared" si="4"/>
        <v>0.0600923206</v>
      </c>
      <c r="AO13" s="226">
        <v>11915.0</v>
      </c>
      <c r="AP13" s="226"/>
      <c r="AQ13" s="226"/>
      <c r="AR13" s="2"/>
    </row>
    <row r="14" ht="14.25" customHeight="1">
      <c r="A14" s="181" t="s">
        <v>146</v>
      </c>
      <c r="B14" s="182">
        <v>795.0</v>
      </c>
      <c r="C14" s="182" t="s">
        <v>161</v>
      </c>
      <c r="D14" s="35">
        <v>13836.0</v>
      </c>
      <c r="E14" s="183">
        <v>11842.0</v>
      </c>
      <c r="F14" s="183">
        <v>2353.0</v>
      </c>
      <c r="G14" s="183">
        <v>9489.0</v>
      </c>
      <c r="H14" s="190">
        <f t="shared" si="1"/>
        <v>0.801300456</v>
      </c>
      <c r="I14" s="183">
        <v>322.0</v>
      </c>
      <c r="J14" s="183">
        <v>77.0</v>
      </c>
      <c r="K14" s="183">
        <v>245.0</v>
      </c>
      <c r="L14" s="183">
        <v>1672.0</v>
      </c>
      <c r="M14" s="190">
        <v>0.12084417461694132</v>
      </c>
      <c r="N14" s="183">
        <v>1405.0</v>
      </c>
      <c r="O14" s="422">
        <v>0.840311004784689</v>
      </c>
      <c r="P14" s="432">
        <v>451.0</v>
      </c>
      <c r="Q14" s="433">
        <v>0.26973684210526316</v>
      </c>
      <c r="R14" s="31">
        <v>61.0</v>
      </c>
      <c r="S14" s="425">
        <v>0.03648325358851675</v>
      </c>
      <c r="T14" s="31">
        <v>812.0</v>
      </c>
      <c r="U14" s="425">
        <v>0.48564593301435405</v>
      </c>
      <c r="V14" s="31">
        <v>348.0</v>
      </c>
      <c r="W14" s="425">
        <v>0.20813397129186603</v>
      </c>
      <c r="X14" s="427">
        <v>0.0</v>
      </c>
      <c r="Y14" s="425">
        <v>0.0</v>
      </c>
      <c r="Z14" s="427">
        <v>0.0</v>
      </c>
      <c r="AA14" s="425">
        <v>0.0</v>
      </c>
      <c r="AB14" s="467">
        <v>1068.0</v>
      </c>
      <c r="AC14" s="428">
        <v>0.638755980861244</v>
      </c>
      <c r="AD14" s="429">
        <v>542.0</v>
      </c>
      <c r="AE14" s="430">
        <f t="shared" si="2"/>
        <v>0.3241626794</v>
      </c>
      <c r="AF14" s="429">
        <v>780.0</v>
      </c>
      <c r="AG14" s="430">
        <f t="shared" si="3"/>
        <v>0.466507177</v>
      </c>
      <c r="AH14" s="226" t="s">
        <v>380</v>
      </c>
      <c r="AI14" s="226" t="s">
        <v>381</v>
      </c>
      <c r="AJ14" s="226" t="s">
        <v>381</v>
      </c>
      <c r="AK14" s="226">
        <v>225.0</v>
      </c>
      <c r="AL14" s="226" t="s">
        <v>382</v>
      </c>
      <c r="AM14" s="226">
        <v>226.0</v>
      </c>
      <c r="AN14" s="431">
        <f t="shared" si="4"/>
        <v>0.1569444444</v>
      </c>
      <c r="AO14" s="226">
        <v>1440.0</v>
      </c>
      <c r="AP14" s="226"/>
      <c r="AQ14" s="226"/>
      <c r="AR14" s="2"/>
    </row>
    <row r="15" ht="14.25" customHeight="1">
      <c r="A15" s="181" t="s">
        <v>155</v>
      </c>
      <c r="B15" s="182">
        <v>903.0</v>
      </c>
      <c r="C15" s="182" t="s">
        <v>162</v>
      </c>
      <c r="D15" s="35">
        <v>378118.0</v>
      </c>
      <c r="E15" s="183">
        <v>344183.0</v>
      </c>
      <c r="F15" s="183">
        <v>162570.0</v>
      </c>
      <c r="G15" s="183">
        <v>181613.0</v>
      </c>
      <c r="H15" s="190">
        <f t="shared" si="1"/>
        <v>0.5276640624</v>
      </c>
      <c r="I15" s="183">
        <v>1299.0</v>
      </c>
      <c r="J15" s="183">
        <v>547.0</v>
      </c>
      <c r="K15" s="183">
        <v>752.0</v>
      </c>
      <c r="L15" s="183">
        <v>32636.0</v>
      </c>
      <c r="M15" s="190">
        <v>0.0863116804806965</v>
      </c>
      <c r="N15" s="183">
        <v>21364.0</v>
      </c>
      <c r="O15" s="422">
        <v>0.6546145360951097</v>
      </c>
      <c r="P15" s="432">
        <v>456.0</v>
      </c>
      <c r="Q15" s="433">
        <v>0.013972300527025371</v>
      </c>
      <c r="R15" s="31">
        <v>962.0</v>
      </c>
      <c r="S15" s="425">
        <v>0.029476651550435103</v>
      </c>
      <c r="T15" s="31">
        <v>421.0</v>
      </c>
      <c r="U15" s="425">
        <v>0.012899865179556318</v>
      </c>
      <c r="V15" s="31">
        <v>30786.0</v>
      </c>
      <c r="W15" s="463">
        <v>0.9433141316337786</v>
      </c>
      <c r="X15" s="31">
        <v>11.0</v>
      </c>
      <c r="Y15" s="434">
        <v>3.370511092045594E-4</v>
      </c>
      <c r="Z15" s="427">
        <v>0.0</v>
      </c>
      <c r="AA15" s="425">
        <v>0.0</v>
      </c>
      <c r="AB15" s="467">
        <v>16113.0</v>
      </c>
      <c r="AC15" s="430">
        <v>0.4937185929648241</v>
      </c>
      <c r="AD15" s="429">
        <v>16739.0</v>
      </c>
      <c r="AE15" s="430">
        <f t="shared" si="2"/>
        <v>0.5128998652</v>
      </c>
      <c r="AF15" s="429">
        <v>6356.0</v>
      </c>
      <c r="AG15" s="430">
        <f t="shared" si="3"/>
        <v>0.1947542591</v>
      </c>
      <c r="AH15" s="226" t="s">
        <v>383</v>
      </c>
      <c r="AI15" s="226" t="s">
        <v>384</v>
      </c>
      <c r="AJ15" s="226" t="s">
        <v>368</v>
      </c>
      <c r="AK15" s="226">
        <v>0.0</v>
      </c>
      <c r="AL15" s="226" t="s">
        <v>385</v>
      </c>
      <c r="AM15" s="226">
        <v>53.0</v>
      </c>
      <c r="AN15" s="431">
        <f t="shared" si="4"/>
        <v>0.003424215015</v>
      </c>
      <c r="AO15" s="226">
        <v>15478.0</v>
      </c>
      <c r="AP15" s="226"/>
      <c r="AQ15" s="226"/>
      <c r="AR15" s="2"/>
    </row>
    <row r="16" ht="14.25" customHeight="1">
      <c r="A16" s="181" t="s">
        <v>155</v>
      </c>
      <c r="B16" s="182">
        <v>865.0</v>
      </c>
      <c r="C16" s="476" t="s">
        <v>163</v>
      </c>
      <c r="D16" s="35">
        <v>237594.0</v>
      </c>
      <c r="E16" s="183">
        <v>147921.0</v>
      </c>
      <c r="F16" s="183">
        <v>61720.0</v>
      </c>
      <c r="G16" s="183">
        <v>86201.0</v>
      </c>
      <c r="H16" s="190">
        <f t="shared" si="1"/>
        <v>0.5827502518</v>
      </c>
      <c r="I16" s="183">
        <v>1528.0</v>
      </c>
      <c r="J16" s="183">
        <v>593.0</v>
      </c>
      <c r="K16" s="183">
        <v>935.0</v>
      </c>
      <c r="L16" s="183">
        <v>88145.0</v>
      </c>
      <c r="M16" s="477">
        <v>0.37099000816518934</v>
      </c>
      <c r="N16" s="183">
        <v>61408.0</v>
      </c>
      <c r="O16" s="422">
        <v>0.6966702592319474</v>
      </c>
      <c r="P16" s="478">
        <v>14227.0</v>
      </c>
      <c r="Q16" s="433">
        <v>0.1614045039423677</v>
      </c>
      <c r="R16" s="31">
        <v>92.0</v>
      </c>
      <c r="S16" s="426">
        <v>0.001043734755232855</v>
      </c>
      <c r="T16" s="31">
        <v>267.0</v>
      </c>
      <c r="U16" s="426">
        <v>0.0030290997787736115</v>
      </c>
      <c r="V16" s="31">
        <v>68991.0</v>
      </c>
      <c r="W16" s="463">
        <v>0.7826989619377163</v>
      </c>
      <c r="X16" s="31">
        <v>11.0</v>
      </c>
      <c r="Y16" s="434">
        <v>1.2479437290827613E-4</v>
      </c>
      <c r="Z16" s="31">
        <v>4557.0</v>
      </c>
      <c r="AA16" s="425">
        <v>0.05169890521300131</v>
      </c>
      <c r="AB16" s="467">
        <v>52850.0</v>
      </c>
      <c r="AC16" s="428">
        <v>0.5995802371093085</v>
      </c>
      <c r="AD16" s="429">
        <v>26015.0</v>
      </c>
      <c r="AE16" s="430">
        <f t="shared" si="2"/>
        <v>0.2951386919</v>
      </c>
      <c r="AF16" s="429">
        <v>9027.0</v>
      </c>
      <c r="AG16" s="430">
        <f t="shared" si="3"/>
        <v>0.1024108004</v>
      </c>
      <c r="AH16" s="226" t="s">
        <v>386</v>
      </c>
      <c r="AI16" s="226" t="s">
        <v>387</v>
      </c>
      <c r="AJ16" s="226" t="s">
        <v>388</v>
      </c>
      <c r="AK16" s="226">
        <v>175.0</v>
      </c>
      <c r="AL16" s="226" t="s">
        <v>389</v>
      </c>
      <c r="AM16" s="226">
        <v>1371.0</v>
      </c>
      <c r="AN16" s="431">
        <f t="shared" si="4"/>
        <v>0.3170675301</v>
      </c>
      <c r="AO16" s="226">
        <v>4324.0</v>
      </c>
      <c r="AP16" s="226"/>
      <c r="AQ16" s="226"/>
      <c r="AR16" s="2"/>
    </row>
    <row r="17" ht="14.25" customHeight="1">
      <c r="A17" s="181" t="s">
        <v>159</v>
      </c>
      <c r="B17" s="182">
        <v>869.0</v>
      </c>
      <c r="C17" s="182" t="s">
        <v>164</v>
      </c>
      <c r="D17" s="35">
        <v>100137.0</v>
      </c>
      <c r="E17" s="183">
        <v>76092.0</v>
      </c>
      <c r="F17" s="183">
        <v>39898.0</v>
      </c>
      <c r="G17" s="183">
        <v>36194.0</v>
      </c>
      <c r="H17" s="190">
        <f t="shared" si="1"/>
        <v>0.4756610419</v>
      </c>
      <c r="I17" s="183">
        <v>1582.0</v>
      </c>
      <c r="J17" s="183">
        <v>660.0</v>
      </c>
      <c r="K17" s="183">
        <v>922.0</v>
      </c>
      <c r="L17" s="183">
        <v>22463.0</v>
      </c>
      <c r="M17" s="217">
        <v>0.2243226779312342</v>
      </c>
      <c r="N17" s="183">
        <v>14831.0</v>
      </c>
      <c r="O17" s="422">
        <v>0.660241285669768</v>
      </c>
      <c r="P17" s="423">
        <v>8886.0</v>
      </c>
      <c r="Q17" s="433">
        <v>0.395583848996127</v>
      </c>
      <c r="R17" s="31">
        <v>122.0</v>
      </c>
      <c r="S17" s="425">
        <v>0.005431153452343854</v>
      </c>
      <c r="T17" s="427">
        <v>0.0</v>
      </c>
      <c r="U17" s="425">
        <v>0.0</v>
      </c>
      <c r="V17" s="31">
        <v>13451.0</v>
      </c>
      <c r="W17" s="463">
        <v>0.5988069269465343</v>
      </c>
      <c r="X17" s="31">
        <v>4.0</v>
      </c>
      <c r="Y17" s="434">
        <v>1.7807060499488048E-4</v>
      </c>
      <c r="Z17" s="427">
        <v>0.0</v>
      </c>
      <c r="AA17" s="425">
        <v>0.0</v>
      </c>
      <c r="AB17" s="467">
        <v>19593.0</v>
      </c>
      <c r="AC17" s="428">
        <v>0.8722343409161732</v>
      </c>
      <c r="AD17" s="429">
        <v>4644.0</v>
      </c>
      <c r="AE17" s="430">
        <f t="shared" si="2"/>
        <v>0.2067399724</v>
      </c>
      <c r="AF17" s="429">
        <v>8158.0</v>
      </c>
      <c r="AG17" s="430">
        <f t="shared" si="3"/>
        <v>0.3631749989</v>
      </c>
      <c r="AH17" s="226" t="s">
        <v>390</v>
      </c>
      <c r="AI17" s="226" t="s">
        <v>391</v>
      </c>
      <c r="AJ17" s="226" t="s">
        <v>392</v>
      </c>
      <c r="AK17" s="226">
        <v>175.0</v>
      </c>
      <c r="AL17" s="226" t="s">
        <v>393</v>
      </c>
      <c r="AM17" s="226">
        <v>1636.0</v>
      </c>
      <c r="AN17" s="431">
        <f t="shared" si="4"/>
        <v>0.175235647</v>
      </c>
      <c r="AO17" s="226">
        <v>9336.0</v>
      </c>
      <c r="AP17" s="226"/>
      <c r="AQ17" s="226"/>
      <c r="AR17" s="2"/>
    </row>
    <row r="18" ht="14.25" customHeight="1">
      <c r="A18" s="181" t="s">
        <v>159</v>
      </c>
      <c r="B18" s="182">
        <v>834.0</v>
      </c>
      <c r="C18" s="436" t="s">
        <v>165</v>
      </c>
      <c r="D18" s="35">
        <v>167106.0</v>
      </c>
      <c r="E18" s="183">
        <v>145440.0</v>
      </c>
      <c r="F18" s="183">
        <v>78194.0</v>
      </c>
      <c r="G18" s="183">
        <v>67246.0</v>
      </c>
      <c r="H18" s="190">
        <f t="shared" si="1"/>
        <v>0.4623624862</v>
      </c>
      <c r="I18" s="183">
        <v>558.0</v>
      </c>
      <c r="J18" s="183">
        <v>265.0</v>
      </c>
      <c r="K18" s="183">
        <v>293.0</v>
      </c>
      <c r="L18" s="183">
        <v>21108.0</v>
      </c>
      <c r="M18" s="190">
        <v>0.1263150335715055</v>
      </c>
      <c r="N18" s="183">
        <v>12788.0</v>
      </c>
      <c r="O18" s="422">
        <v>0.6058366496115217</v>
      </c>
      <c r="P18" s="432">
        <v>426.0</v>
      </c>
      <c r="Q18" s="433">
        <v>0.020181921546333144</v>
      </c>
      <c r="R18" s="31">
        <v>199.0</v>
      </c>
      <c r="S18" s="425">
        <v>0.009427705135493653</v>
      </c>
      <c r="T18" s="31">
        <v>13.0</v>
      </c>
      <c r="U18" s="426">
        <v>6.158802349819974E-4</v>
      </c>
      <c r="V18" s="31">
        <v>20214.0</v>
      </c>
      <c r="W18" s="463">
        <v>0.957646389994315</v>
      </c>
      <c r="X18" s="31">
        <v>182.0</v>
      </c>
      <c r="Y18" s="425">
        <v>0.008622323289747963</v>
      </c>
      <c r="Z18" s="31">
        <v>74.0</v>
      </c>
      <c r="AA18" s="426">
        <v>0.0035057797991282927</v>
      </c>
      <c r="AB18" s="467">
        <v>15594.0</v>
      </c>
      <c r="AC18" s="428">
        <v>0.7387720295622513</v>
      </c>
      <c r="AD18" s="429">
        <v>12383.0</v>
      </c>
      <c r="AE18" s="430">
        <f t="shared" si="2"/>
        <v>0.5866496115</v>
      </c>
      <c r="AF18" s="429">
        <v>140.0</v>
      </c>
      <c r="AG18" s="430">
        <f t="shared" si="3"/>
        <v>0.006632556377</v>
      </c>
      <c r="AH18" s="226" t="s">
        <v>394</v>
      </c>
      <c r="AI18" s="226" t="s">
        <v>395</v>
      </c>
      <c r="AJ18" s="226" t="s">
        <v>394</v>
      </c>
      <c r="AK18" s="226">
        <v>4.0</v>
      </c>
      <c r="AL18" s="226" t="s">
        <v>396</v>
      </c>
      <c r="AM18" s="226">
        <v>50.0</v>
      </c>
      <c r="AN18" s="431">
        <f t="shared" si="4"/>
        <v>0.0067132116</v>
      </c>
      <c r="AO18" s="226">
        <v>7448.0</v>
      </c>
      <c r="AP18" s="226"/>
      <c r="AQ18" s="226"/>
      <c r="AR18" s="2"/>
    </row>
    <row r="19" ht="14.25" customHeight="1">
      <c r="A19" s="181" t="s">
        <v>153</v>
      </c>
      <c r="B19" s="182">
        <v>841.0</v>
      </c>
      <c r="C19" s="476" t="s">
        <v>166</v>
      </c>
      <c r="D19" s="35">
        <v>210418.0</v>
      </c>
      <c r="E19" s="183">
        <v>125172.0</v>
      </c>
      <c r="F19" s="183">
        <v>69789.0</v>
      </c>
      <c r="G19" s="183">
        <v>55383.0</v>
      </c>
      <c r="H19" s="190">
        <f t="shared" si="1"/>
        <v>0.4424551817</v>
      </c>
      <c r="I19" s="183">
        <v>3799.0</v>
      </c>
      <c r="J19" s="183">
        <v>1653.0</v>
      </c>
      <c r="K19" s="183">
        <v>2146.0</v>
      </c>
      <c r="L19" s="183">
        <v>81447.0</v>
      </c>
      <c r="M19" s="477">
        <v>0.38707239874915644</v>
      </c>
      <c r="N19" s="183">
        <v>25592.0</v>
      </c>
      <c r="O19" s="422">
        <v>0.3142166071187398</v>
      </c>
      <c r="P19" s="478">
        <v>62875.0</v>
      </c>
      <c r="Q19" s="424">
        <v>0.7719744128083293</v>
      </c>
      <c r="R19" s="31">
        <v>670.0</v>
      </c>
      <c r="S19" s="425">
        <v>0.008226208454577824</v>
      </c>
      <c r="T19" s="31">
        <v>580.0</v>
      </c>
      <c r="U19" s="425">
        <v>0.007121195378589758</v>
      </c>
      <c r="V19" s="31">
        <v>4092.0</v>
      </c>
      <c r="W19" s="425">
        <v>0.05024126118825739</v>
      </c>
      <c r="X19" s="31">
        <v>23.0</v>
      </c>
      <c r="Y19" s="434">
        <v>2.823922305302835E-4</v>
      </c>
      <c r="Z19" s="31">
        <v>13207.0</v>
      </c>
      <c r="AA19" s="425">
        <v>0.1621545299397154</v>
      </c>
      <c r="AB19" s="467">
        <v>74627.0</v>
      </c>
      <c r="AC19" s="428">
        <v>0.9162645646862376</v>
      </c>
      <c r="AD19" s="429">
        <v>70260.0</v>
      </c>
      <c r="AE19" s="430">
        <f t="shared" si="2"/>
        <v>0.8626468747</v>
      </c>
      <c r="AF19" s="429">
        <v>3062.0</v>
      </c>
      <c r="AG19" s="430">
        <f t="shared" si="3"/>
        <v>0.03759500043</v>
      </c>
      <c r="AH19" s="226" t="s">
        <v>397</v>
      </c>
      <c r="AI19" s="226" t="s">
        <v>398</v>
      </c>
      <c r="AJ19" s="226" t="s">
        <v>397</v>
      </c>
      <c r="AK19" s="226">
        <v>746.0</v>
      </c>
      <c r="AL19" s="226" t="s">
        <v>398</v>
      </c>
      <c r="AM19" s="226">
        <v>6247.0</v>
      </c>
      <c r="AN19" s="431">
        <f t="shared" si="4"/>
        <v>0.6517475222</v>
      </c>
      <c r="AO19" s="226">
        <v>9585.0</v>
      </c>
      <c r="AP19" s="226"/>
      <c r="AQ19" s="226"/>
      <c r="AR19" s="2"/>
    </row>
    <row r="20" ht="14.25" customHeight="1">
      <c r="A20" s="468" t="s">
        <v>159</v>
      </c>
      <c r="B20" s="469">
        <v>862.0</v>
      </c>
      <c r="C20" s="469" t="s">
        <v>167</v>
      </c>
      <c r="D20" s="446">
        <v>431386.0</v>
      </c>
      <c r="E20" s="447">
        <v>412758.0</v>
      </c>
      <c r="F20" s="447">
        <v>173091.0</v>
      </c>
      <c r="G20" s="447">
        <v>239667.0</v>
      </c>
      <c r="H20" s="448">
        <f t="shared" si="1"/>
        <v>0.5806477403</v>
      </c>
      <c r="I20" s="447">
        <v>6905.0</v>
      </c>
      <c r="J20" s="447">
        <v>3241.0</v>
      </c>
      <c r="K20" s="447">
        <v>3664.0</v>
      </c>
      <c r="L20" s="447">
        <v>11723.0</v>
      </c>
      <c r="M20" s="448">
        <v>0.027175198082459794</v>
      </c>
      <c r="N20" s="447">
        <v>7873.0</v>
      </c>
      <c r="O20" s="470">
        <v>0.6715857715601808</v>
      </c>
      <c r="P20" s="471">
        <v>645.0</v>
      </c>
      <c r="Q20" s="472">
        <v>0.05502004606329438</v>
      </c>
      <c r="R20" s="479">
        <v>1187.0</v>
      </c>
      <c r="S20" s="454">
        <v>0.10125394523586113</v>
      </c>
      <c r="T20" s="479">
        <v>1503.0</v>
      </c>
      <c r="U20" s="454">
        <v>0.1282095026870255</v>
      </c>
      <c r="V20" s="479">
        <v>8380.0</v>
      </c>
      <c r="W20" s="463">
        <v>0.7148340868378401</v>
      </c>
      <c r="X20" s="451">
        <v>5.0</v>
      </c>
      <c r="Y20" s="480">
        <v>4.2651198498677815E-4</v>
      </c>
      <c r="Z20" s="451">
        <v>3.0</v>
      </c>
      <c r="AA20" s="480">
        <v>2.559071909920669E-4</v>
      </c>
      <c r="AB20" s="473">
        <v>5037.0</v>
      </c>
      <c r="AC20" s="481">
        <v>0.4296681736756803</v>
      </c>
      <c r="AD20" s="429">
        <v>4471.0</v>
      </c>
      <c r="AE20" s="430">
        <f t="shared" si="2"/>
        <v>0.381387017</v>
      </c>
      <c r="AF20" s="429">
        <v>3946.0</v>
      </c>
      <c r="AG20" s="430">
        <f t="shared" si="3"/>
        <v>0.3366032586</v>
      </c>
      <c r="AH20" s="474" t="s">
        <v>399</v>
      </c>
      <c r="AI20" s="474" t="s">
        <v>400</v>
      </c>
      <c r="AJ20" s="474" t="s">
        <v>401</v>
      </c>
      <c r="AK20" s="474">
        <v>0.0</v>
      </c>
      <c r="AL20" s="474" t="s">
        <v>400</v>
      </c>
      <c r="AM20" s="474">
        <v>228.0</v>
      </c>
      <c r="AN20" s="431">
        <f t="shared" si="4"/>
        <v>0.04895855701</v>
      </c>
      <c r="AO20" s="474">
        <v>4657.0</v>
      </c>
      <c r="AP20" s="474"/>
      <c r="AQ20" s="474"/>
      <c r="AR20" s="475"/>
    </row>
    <row r="21" ht="14.25" customHeight="1">
      <c r="A21" s="181" t="s">
        <v>148</v>
      </c>
      <c r="B21" s="182">
        <v>928.0</v>
      </c>
      <c r="C21" s="182" t="s">
        <v>168</v>
      </c>
      <c r="D21" s="35">
        <v>268473.0</v>
      </c>
      <c r="E21" s="183">
        <v>254670.0</v>
      </c>
      <c r="F21" s="183">
        <v>53735.0</v>
      </c>
      <c r="G21" s="183">
        <v>200935.0</v>
      </c>
      <c r="H21" s="190">
        <f t="shared" si="1"/>
        <v>0.7890014529</v>
      </c>
      <c r="I21" s="183">
        <v>1862.0</v>
      </c>
      <c r="J21" s="183">
        <v>294.0</v>
      </c>
      <c r="K21" s="183">
        <v>1568.0</v>
      </c>
      <c r="L21" s="183">
        <v>11941.0</v>
      </c>
      <c r="M21" s="190">
        <v>0.04447747073262488</v>
      </c>
      <c r="N21" s="183">
        <v>10782.0</v>
      </c>
      <c r="O21" s="422">
        <v>0.902939452307177</v>
      </c>
      <c r="P21" s="432">
        <v>4393.0</v>
      </c>
      <c r="Q21" s="433">
        <v>0.3678921363369902</v>
      </c>
      <c r="R21" s="31">
        <v>284.0</v>
      </c>
      <c r="S21" s="425">
        <v>0.023783602713340592</v>
      </c>
      <c r="T21" s="31">
        <v>5205.0</v>
      </c>
      <c r="U21" s="425">
        <v>0.4358931412779499</v>
      </c>
      <c r="V21" s="31">
        <v>1846.0</v>
      </c>
      <c r="W21" s="425">
        <v>0.15459341763671383</v>
      </c>
      <c r="X21" s="31">
        <v>7.0</v>
      </c>
      <c r="Y21" s="434">
        <v>5.862155598358596E-4</v>
      </c>
      <c r="Z21" s="31">
        <v>206.0</v>
      </c>
      <c r="AA21" s="425">
        <v>0.017251486475169584</v>
      </c>
      <c r="AB21" s="467">
        <v>9009.0</v>
      </c>
      <c r="AC21" s="428">
        <v>0.7544594255087513</v>
      </c>
      <c r="AD21" s="429">
        <v>7934.0</v>
      </c>
      <c r="AE21" s="430">
        <f t="shared" si="2"/>
        <v>0.6644334645</v>
      </c>
      <c r="AF21" s="429">
        <v>1372.0</v>
      </c>
      <c r="AG21" s="430">
        <f t="shared" si="3"/>
        <v>0.1148982497</v>
      </c>
      <c r="AH21" s="226" t="s">
        <v>402</v>
      </c>
      <c r="AI21" s="226" t="s">
        <v>403</v>
      </c>
      <c r="AJ21" s="226" t="s">
        <v>404</v>
      </c>
      <c r="AK21" s="226">
        <v>54.0</v>
      </c>
      <c r="AL21" s="226" t="s">
        <v>403</v>
      </c>
      <c r="AM21" s="226">
        <v>1460.0</v>
      </c>
      <c r="AN21" s="431">
        <f t="shared" si="4"/>
        <v>0.1149244332</v>
      </c>
      <c r="AO21" s="226">
        <v>12704.0</v>
      </c>
      <c r="AP21" s="226"/>
      <c r="AQ21" s="226"/>
      <c r="AR21" s="2"/>
    </row>
    <row r="22" ht="14.25" customHeight="1">
      <c r="A22" s="181" t="s">
        <v>148</v>
      </c>
      <c r="B22" s="182">
        <v>844.0</v>
      </c>
      <c r="C22" s="182" t="s">
        <v>169</v>
      </c>
      <c r="D22" s="35">
        <v>6155.0</v>
      </c>
      <c r="E22" s="183">
        <v>5465.0</v>
      </c>
      <c r="F22" s="183">
        <v>2687.0</v>
      </c>
      <c r="G22" s="183">
        <v>2778.0</v>
      </c>
      <c r="H22" s="190">
        <f t="shared" si="1"/>
        <v>0.5083257091</v>
      </c>
      <c r="I22" s="183">
        <v>2.0</v>
      </c>
      <c r="J22" s="183">
        <v>1.0</v>
      </c>
      <c r="K22" s="183">
        <v>1.0</v>
      </c>
      <c r="L22" s="183">
        <v>688.0</v>
      </c>
      <c r="M22" s="190">
        <v>0.11177904142973193</v>
      </c>
      <c r="N22" s="183">
        <v>343.0</v>
      </c>
      <c r="O22" s="422">
        <v>0.498546511627907</v>
      </c>
      <c r="P22" s="432">
        <v>82.0</v>
      </c>
      <c r="Q22" s="433">
        <v>0.11918604651162791</v>
      </c>
      <c r="R22" s="31">
        <v>21.0</v>
      </c>
      <c r="S22" s="425">
        <v>0.030523255813953487</v>
      </c>
      <c r="T22" s="31">
        <v>22.0</v>
      </c>
      <c r="U22" s="425">
        <v>0.03197674418604651</v>
      </c>
      <c r="V22" s="31">
        <v>563.0</v>
      </c>
      <c r="W22" s="463">
        <v>0.8183139534883721</v>
      </c>
      <c r="X22" s="427">
        <v>0.0</v>
      </c>
      <c r="Y22" s="425">
        <v>0.0</v>
      </c>
      <c r="Z22" s="427">
        <v>0.0</v>
      </c>
      <c r="AA22" s="425">
        <v>0.0</v>
      </c>
      <c r="AB22" s="467">
        <v>560.0</v>
      </c>
      <c r="AC22" s="428">
        <v>0.813953488372093</v>
      </c>
      <c r="AD22" s="429">
        <v>394.0</v>
      </c>
      <c r="AE22" s="430">
        <f t="shared" si="2"/>
        <v>0.5726744186</v>
      </c>
      <c r="AF22" s="429">
        <v>69.0</v>
      </c>
      <c r="AG22" s="430">
        <f t="shared" si="3"/>
        <v>0.1002906977</v>
      </c>
      <c r="AH22" s="226" t="s">
        <v>405</v>
      </c>
      <c r="AI22" s="226" t="s">
        <v>406</v>
      </c>
      <c r="AJ22" s="226" t="s">
        <v>405</v>
      </c>
      <c r="AK22" s="226">
        <v>21.0</v>
      </c>
      <c r="AL22" s="226" t="s">
        <v>406</v>
      </c>
      <c r="AM22" s="226">
        <v>61.0</v>
      </c>
      <c r="AN22" s="431">
        <f t="shared" si="4"/>
        <v>0.02447833066</v>
      </c>
      <c r="AO22" s="226">
        <v>2492.0</v>
      </c>
      <c r="AP22" s="226"/>
      <c r="AQ22" s="226"/>
      <c r="AR22" s="2"/>
    </row>
    <row r="23" ht="14.25" customHeight="1">
      <c r="A23" s="181" t="s">
        <v>146</v>
      </c>
      <c r="B23" s="182">
        <v>851.0</v>
      </c>
      <c r="C23" s="182" t="s">
        <v>170</v>
      </c>
      <c r="D23" s="35">
        <v>806.0</v>
      </c>
      <c r="E23" s="183">
        <v>806.0</v>
      </c>
      <c r="F23" s="183">
        <v>383.0</v>
      </c>
      <c r="G23" s="183">
        <v>423.0</v>
      </c>
      <c r="H23" s="190">
        <f t="shared" si="1"/>
        <v>0.5248138958</v>
      </c>
      <c r="I23" s="183">
        <v>0.0</v>
      </c>
      <c r="J23" s="183">
        <v>0.0</v>
      </c>
      <c r="K23" s="183">
        <v>0.0</v>
      </c>
      <c r="L23" s="183">
        <v>0.0</v>
      </c>
      <c r="M23" s="190">
        <v>0.0</v>
      </c>
      <c r="N23" s="183">
        <v>0.0</v>
      </c>
      <c r="O23" s="482">
        <v>0.0</v>
      </c>
      <c r="P23" s="432">
        <v>0.0</v>
      </c>
      <c r="Q23" s="433">
        <v>0.0</v>
      </c>
      <c r="R23" s="31">
        <v>0.0</v>
      </c>
      <c r="S23" s="425">
        <v>0.0</v>
      </c>
      <c r="T23" s="427">
        <v>0.0</v>
      </c>
      <c r="U23" s="425">
        <v>0.0</v>
      </c>
      <c r="V23" s="427">
        <v>0.0</v>
      </c>
      <c r="W23" s="425">
        <v>0.0</v>
      </c>
      <c r="X23" s="427">
        <v>0.0</v>
      </c>
      <c r="Y23" s="425">
        <v>0.0</v>
      </c>
      <c r="Z23" s="427">
        <v>0.0</v>
      </c>
      <c r="AA23" s="425">
        <v>0.0</v>
      </c>
      <c r="AB23" s="467">
        <v>0.0</v>
      </c>
      <c r="AC23" s="430">
        <v>0.0</v>
      </c>
      <c r="AD23" s="429">
        <v>0.0</v>
      </c>
      <c r="AE23" s="430">
        <v>0.0</v>
      </c>
      <c r="AF23" s="429">
        <v>0.0</v>
      </c>
      <c r="AG23" s="430">
        <v>0.0</v>
      </c>
      <c r="AH23" s="226" t="s">
        <v>231</v>
      </c>
      <c r="AI23" s="226" t="s">
        <v>231</v>
      </c>
      <c r="AJ23" s="226" t="s">
        <v>231</v>
      </c>
      <c r="AK23" s="226">
        <v>0.0</v>
      </c>
      <c r="AL23" s="226" t="s">
        <v>231</v>
      </c>
      <c r="AM23" s="226">
        <v>0.0</v>
      </c>
      <c r="AN23" s="431">
        <v>0.0</v>
      </c>
      <c r="AO23" s="226">
        <v>0.0</v>
      </c>
      <c r="AP23" s="226"/>
      <c r="AQ23" s="226"/>
      <c r="AR23" s="2"/>
    </row>
    <row r="24" ht="14.25" customHeight="1">
      <c r="A24" s="181" t="s">
        <v>155</v>
      </c>
      <c r="B24" s="182">
        <v>771.0</v>
      </c>
      <c r="C24" s="182" t="s">
        <v>171</v>
      </c>
      <c r="D24" s="35">
        <v>601208.0</v>
      </c>
      <c r="E24" s="183">
        <v>571295.0</v>
      </c>
      <c r="F24" s="183">
        <v>306538.0</v>
      </c>
      <c r="G24" s="183">
        <v>264757.0</v>
      </c>
      <c r="H24" s="190">
        <f t="shared" si="1"/>
        <v>0.4634330775</v>
      </c>
      <c r="I24" s="183">
        <v>5264.0</v>
      </c>
      <c r="J24" s="183">
        <v>2087.0</v>
      </c>
      <c r="K24" s="183">
        <v>3177.0</v>
      </c>
      <c r="L24" s="183">
        <v>24649.0</v>
      </c>
      <c r="M24" s="190">
        <v>0.04099912176817341</v>
      </c>
      <c r="N24" s="183">
        <v>15293.0</v>
      </c>
      <c r="O24" s="422">
        <v>0.6204308491216682</v>
      </c>
      <c r="P24" s="432">
        <v>232.0</v>
      </c>
      <c r="Q24" s="433">
        <v>0.009412146537384885</v>
      </c>
      <c r="R24" s="31">
        <v>237.0</v>
      </c>
      <c r="S24" s="425">
        <v>0.009614994523104386</v>
      </c>
      <c r="T24" s="31">
        <v>630.0</v>
      </c>
      <c r="U24" s="425">
        <v>0.025558846200657227</v>
      </c>
      <c r="V24" s="31">
        <v>23299.0</v>
      </c>
      <c r="W24" s="463">
        <v>0.9452310438557345</v>
      </c>
      <c r="X24" s="31">
        <v>245.0</v>
      </c>
      <c r="Y24" s="425">
        <v>0.009939551300255589</v>
      </c>
      <c r="Z24" s="31">
        <v>6.0</v>
      </c>
      <c r="AA24" s="434">
        <v>2.4341758286340216E-4</v>
      </c>
      <c r="AB24" s="467">
        <v>12329.0</v>
      </c>
      <c r="AC24" s="428">
        <v>0.5001825631871476</v>
      </c>
      <c r="AD24" s="429">
        <v>12911.0</v>
      </c>
      <c r="AE24" s="430">
        <f t="shared" ref="AE24:AE41" si="5">AD24/L24</f>
        <v>0.5237940687</v>
      </c>
      <c r="AF24" s="429">
        <v>879.0</v>
      </c>
      <c r="AG24" s="430">
        <f t="shared" ref="AG24:AG41" si="6">AF24/L24</f>
        <v>0.03566067589</v>
      </c>
      <c r="AH24" s="226" t="s">
        <v>407</v>
      </c>
      <c r="AI24" s="226" t="s">
        <v>408</v>
      </c>
      <c r="AJ24" s="226" t="s">
        <v>368</v>
      </c>
      <c r="AK24" s="226"/>
      <c r="AL24" s="226" t="s">
        <v>409</v>
      </c>
      <c r="AM24" s="226">
        <v>52.0</v>
      </c>
      <c r="AN24" s="431">
        <f t="shared" ref="AN24:AN40" si="7">AM24/AO24</f>
        <v>0.00746911807</v>
      </c>
      <c r="AO24" s="226">
        <v>6962.0</v>
      </c>
      <c r="AP24" s="226"/>
      <c r="AQ24" s="226"/>
      <c r="AR24" s="2"/>
    </row>
    <row r="25" ht="14.25" customHeight="1">
      <c r="A25" s="444" t="s">
        <v>150</v>
      </c>
      <c r="B25" s="445">
        <v>928.0</v>
      </c>
      <c r="C25" s="445" t="s">
        <v>172</v>
      </c>
      <c r="D25" s="458">
        <v>748589.0</v>
      </c>
      <c r="E25" s="459">
        <v>682631.0</v>
      </c>
      <c r="F25" s="459">
        <v>366366.0</v>
      </c>
      <c r="G25" s="459">
        <v>316265.0</v>
      </c>
      <c r="H25" s="448">
        <f t="shared" si="1"/>
        <v>0.4633030144</v>
      </c>
      <c r="I25" s="459">
        <v>3567.0</v>
      </c>
      <c r="J25" s="459">
        <v>1707.0</v>
      </c>
      <c r="K25" s="459">
        <v>1860.0</v>
      </c>
      <c r="L25" s="459">
        <v>62391.0</v>
      </c>
      <c r="M25" s="460">
        <v>0.08334479934917559</v>
      </c>
      <c r="N25" s="459">
        <v>44268.0</v>
      </c>
      <c r="O25" s="449">
        <v>0.7095254123190845</v>
      </c>
      <c r="P25" s="461">
        <v>2367.0</v>
      </c>
      <c r="Q25" s="450">
        <v>0.03793816415829206</v>
      </c>
      <c r="R25" s="451">
        <v>1529.0</v>
      </c>
      <c r="S25" s="453">
        <v>0.024506739754131205</v>
      </c>
      <c r="T25" s="451">
        <v>8320.0</v>
      </c>
      <c r="U25" s="453">
        <v>0.13335256687663286</v>
      </c>
      <c r="V25" s="451">
        <v>49288.0</v>
      </c>
      <c r="W25" s="463">
        <v>0.7899857351220528</v>
      </c>
      <c r="X25" s="451">
        <v>72.0</v>
      </c>
      <c r="Y25" s="480">
        <v>0.0011540125979708612</v>
      </c>
      <c r="Z25" s="451">
        <v>815.0</v>
      </c>
      <c r="AA25" s="453">
        <v>0.013062781490920165</v>
      </c>
      <c r="AB25" s="473">
        <v>27994.0</v>
      </c>
      <c r="AC25" s="483">
        <v>0.4486865092721707</v>
      </c>
      <c r="AD25" s="429">
        <v>24540.0</v>
      </c>
      <c r="AE25" s="430">
        <f t="shared" si="5"/>
        <v>0.3933259605</v>
      </c>
      <c r="AF25" s="429">
        <v>11206.0</v>
      </c>
      <c r="AG25" s="430">
        <f t="shared" si="6"/>
        <v>0.1796092385</v>
      </c>
      <c r="AH25" s="457" t="s">
        <v>410</v>
      </c>
      <c r="AI25" s="457" t="s">
        <v>411</v>
      </c>
      <c r="AJ25" s="457" t="s">
        <v>412</v>
      </c>
      <c r="AK25" s="457">
        <v>0.0</v>
      </c>
      <c r="AL25" s="457" t="s">
        <v>413</v>
      </c>
      <c r="AM25" s="457">
        <v>474.0</v>
      </c>
      <c r="AN25" s="431">
        <f t="shared" si="7"/>
        <v>0.04859046643</v>
      </c>
      <c r="AO25" s="457">
        <v>9755.0</v>
      </c>
      <c r="AP25" s="457"/>
      <c r="AQ25" s="457"/>
      <c r="AR25" s="466"/>
    </row>
    <row r="26" ht="14.25" customHeight="1">
      <c r="A26" s="181" t="s">
        <v>150</v>
      </c>
      <c r="B26" s="182">
        <v>741.0</v>
      </c>
      <c r="C26" s="421" t="s">
        <v>173</v>
      </c>
      <c r="D26" s="35">
        <v>42684.0</v>
      </c>
      <c r="E26" s="183">
        <v>27528.0</v>
      </c>
      <c r="F26" s="183">
        <v>12915.0</v>
      </c>
      <c r="G26" s="183">
        <v>14613.0</v>
      </c>
      <c r="H26" s="190">
        <f t="shared" si="1"/>
        <v>0.5308413252</v>
      </c>
      <c r="I26" s="183">
        <v>425.0</v>
      </c>
      <c r="J26" s="183">
        <v>198.0</v>
      </c>
      <c r="K26" s="183">
        <v>227.0</v>
      </c>
      <c r="L26" s="183">
        <v>14731.0</v>
      </c>
      <c r="M26" s="217">
        <v>0.3451176084715584</v>
      </c>
      <c r="N26" s="183">
        <v>8340.0</v>
      </c>
      <c r="O26" s="422">
        <v>0.5661530106577964</v>
      </c>
      <c r="P26" s="423">
        <v>1145.0</v>
      </c>
      <c r="Q26" s="433">
        <v>0.07772724187088453</v>
      </c>
      <c r="R26" s="31">
        <v>73.0</v>
      </c>
      <c r="S26" s="426">
        <v>0.004955535944606612</v>
      </c>
      <c r="T26" s="31">
        <v>942.0</v>
      </c>
      <c r="U26" s="425">
        <v>0.06394677890163601</v>
      </c>
      <c r="V26" s="31">
        <v>11716.0</v>
      </c>
      <c r="W26" s="463">
        <v>0.7953295770823433</v>
      </c>
      <c r="X26" s="31">
        <v>76.0</v>
      </c>
      <c r="Y26" s="425">
        <v>0.005159188106713733</v>
      </c>
      <c r="Z26" s="31">
        <v>779.0</v>
      </c>
      <c r="AA26" s="425">
        <v>0.05288167809381576</v>
      </c>
      <c r="AB26" s="467">
        <v>11077.0</v>
      </c>
      <c r="AC26" s="428">
        <v>0.7519516665535266</v>
      </c>
      <c r="AD26" s="429">
        <v>4587.0</v>
      </c>
      <c r="AE26" s="430">
        <f t="shared" si="5"/>
        <v>0.3113841559</v>
      </c>
      <c r="AF26" s="429">
        <v>1404.0</v>
      </c>
      <c r="AG26" s="430">
        <f t="shared" si="6"/>
        <v>0.09530921187</v>
      </c>
      <c r="AH26" s="226" t="s">
        <v>414</v>
      </c>
      <c r="AI26" s="226" t="s">
        <v>415</v>
      </c>
      <c r="AJ26" s="226" t="s">
        <v>416</v>
      </c>
      <c r="AK26" s="226">
        <v>13.0</v>
      </c>
      <c r="AL26" s="226" t="s">
        <v>415</v>
      </c>
      <c r="AM26" s="226">
        <v>153.0</v>
      </c>
      <c r="AN26" s="431">
        <f t="shared" si="7"/>
        <v>0.07802141764</v>
      </c>
      <c r="AO26" s="226">
        <v>1961.0</v>
      </c>
      <c r="AP26" s="226"/>
      <c r="AQ26" s="226"/>
      <c r="AR26" s="2"/>
    </row>
    <row r="27" ht="14.25" customHeight="1">
      <c r="A27" s="181" t="s">
        <v>155</v>
      </c>
      <c r="B27" s="182">
        <v>716.0</v>
      </c>
      <c r="C27" s="476" t="s">
        <v>174</v>
      </c>
      <c r="D27" s="35">
        <v>55160.0</v>
      </c>
      <c r="E27" s="183">
        <v>27671.0</v>
      </c>
      <c r="F27" s="183">
        <v>11627.0</v>
      </c>
      <c r="G27" s="183">
        <v>16044.0</v>
      </c>
      <c r="H27" s="190">
        <f t="shared" si="1"/>
        <v>0.5798128004</v>
      </c>
      <c r="I27" s="183">
        <v>557.0</v>
      </c>
      <c r="J27" s="183">
        <v>202.0</v>
      </c>
      <c r="K27" s="183">
        <v>355.0</v>
      </c>
      <c r="L27" s="183">
        <v>26932.0</v>
      </c>
      <c r="M27" s="477">
        <v>0.48825235678027556</v>
      </c>
      <c r="N27" s="183">
        <v>15828.0</v>
      </c>
      <c r="O27" s="422">
        <v>0.5877023615030447</v>
      </c>
      <c r="P27" s="478">
        <v>15532.0</v>
      </c>
      <c r="Q27" s="424">
        <v>0.576711718401901</v>
      </c>
      <c r="R27" s="31">
        <v>17.0</v>
      </c>
      <c r="S27" s="426">
        <v>6.312193672954107E-4</v>
      </c>
      <c r="T27" s="31">
        <v>4384.0</v>
      </c>
      <c r="U27" s="425">
        <v>0.16278033566018119</v>
      </c>
      <c r="V27" s="31">
        <v>6013.0</v>
      </c>
      <c r="W27" s="425">
        <v>0.2232660032674885</v>
      </c>
      <c r="X27" s="427">
        <v>0.0</v>
      </c>
      <c r="Y27" s="425">
        <v>0.0</v>
      </c>
      <c r="Z27" s="31">
        <v>986.0</v>
      </c>
      <c r="AA27" s="425">
        <v>0.03661072330313382</v>
      </c>
      <c r="AB27" s="467">
        <v>24480.0</v>
      </c>
      <c r="AC27" s="428">
        <v>0.9089558889053914</v>
      </c>
      <c r="AD27" s="429">
        <v>12378.0</v>
      </c>
      <c r="AE27" s="430">
        <f t="shared" si="5"/>
        <v>0.4596019605</v>
      </c>
      <c r="AF27" s="429">
        <v>13546.0</v>
      </c>
      <c r="AG27" s="430">
        <f t="shared" si="6"/>
        <v>0.5029704441</v>
      </c>
      <c r="AH27" s="226" t="s">
        <v>417</v>
      </c>
      <c r="AI27" s="226" t="s">
        <v>418</v>
      </c>
      <c r="AJ27" s="226" t="s">
        <v>417</v>
      </c>
      <c r="AK27" s="226">
        <v>772.0</v>
      </c>
      <c r="AL27" s="226" t="s">
        <v>418</v>
      </c>
      <c r="AM27" s="226">
        <v>2718.0</v>
      </c>
      <c r="AN27" s="431">
        <f t="shared" si="7"/>
        <v>0.7535347935</v>
      </c>
      <c r="AO27" s="226">
        <v>3607.0</v>
      </c>
      <c r="AP27" s="226"/>
      <c r="AQ27" s="226"/>
      <c r="AR27" s="2"/>
    </row>
    <row r="28" ht="14.25" customHeight="1">
      <c r="A28" s="468" t="s">
        <v>150</v>
      </c>
      <c r="B28" s="469">
        <v>765.0</v>
      </c>
      <c r="C28" s="437" t="s">
        <v>175</v>
      </c>
      <c r="D28" s="446">
        <v>23366.0</v>
      </c>
      <c r="E28" s="447">
        <v>8436.0</v>
      </c>
      <c r="F28" s="447">
        <v>4982.0</v>
      </c>
      <c r="G28" s="447">
        <v>3454.0</v>
      </c>
      <c r="H28" s="448">
        <f t="shared" si="1"/>
        <v>0.4094357515</v>
      </c>
      <c r="I28" s="447">
        <v>879.0</v>
      </c>
      <c r="J28" s="447">
        <v>464.0</v>
      </c>
      <c r="K28" s="447">
        <v>415.0</v>
      </c>
      <c r="L28" s="447">
        <v>14051.0</v>
      </c>
      <c r="M28" s="213">
        <v>0.6013438329196268</v>
      </c>
      <c r="N28" s="447">
        <v>7141.0</v>
      </c>
      <c r="O28" s="470">
        <v>0.5082200555120632</v>
      </c>
      <c r="P28" s="440">
        <v>4922.0</v>
      </c>
      <c r="Q28" s="424">
        <v>0.3502953526439399</v>
      </c>
      <c r="R28" s="451">
        <v>92.0</v>
      </c>
      <c r="S28" s="453">
        <v>0.006547576684933457</v>
      </c>
      <c r="T28" s="451">
        <v>1314.0</v>
      </c>
      <c r="U28" s="453">
        <v>0.09351647569568003</v>
      </c>
      <c r="V28" s="451">
        <v>7184.0</v>
      </c>
      <c r="W28" s="463">
        <v>0.5112803359191517</v>
      </c>
      <c r="X28" s="455">
        <v>0.0</v>
      </c>
      <c r="Y28" s="453">
        <v>0.0</v>
      </c>
      <c r="Z28" s="451">
        <v>539.0</v>
      </c>
      <c r="AA28" s="453">
        <v>0.03836025905629493</v>
      </c>
      <c r="AB28" s="473">
        <v>7979.0</v>
      </c>
      <c r="AC28" s="428">
        <v>0.5678599387943919</v>
      </c>
      <c r="AD28" s="429">
        <v>6756.0</v>
      </c>
      <c r="AE28" s="430">
        <f t="shared" si="5"/>
        <v>0.4808198705</v>
      </c>
      <c r="AF28" s="429">
        <v>7134.0</v>
      </c>
      <c r="AG28" s="430">
        <f t="shared" si="6"/>
        <v>0.5077218703</v>
      </c>
      <c r="AH28" s="474" t="s">
        <v>419</v>
      </c>
      <c r="AI28" s="474" t="s">
        <v>420</v>
      </c>
      <c r="AJ28" s="474" t="s">
        <v>419</v>
      </c>
      <c r="AK28" s="474">
        <v>148.0</v>
      </c>
      <c r="AL28" s="474" t="s">
        <v>420</v>
      </c>
      <c r="AM28" s="474">
        <v>733.0</v>
      </c>
      <c r="AN28" s="431">
        <f t="shared" si="7"/>
        <v>0.243845642</v>
      </c>
      <c r="AO28" s="474">
        <v>3006.0</v>
      </c>
      <c r="AP28" s="474"/>
      <c r="AQ28" s="474"/>
      <c r="AR28" s="475"/>
    </row>
    <row r="29" ht="14.25" customHeight="1">
      <c r="A29" s="181" t="s">
        <v>150</v>
      </c>
      <c r="B29" s="182">
        <v>728.0</v>
      </c>
      <c r="C29" s="182" t="s">
        <v>176</v>
      </c>
      <c r="D29" s="35">
        <v>31402.0</v>
      </c>
      <c r="E29" s="183">
        <v>25721.0</v>
      </c>
      <c r="F29" s="183">
        <v>11466.0</v>
      </c>
      <c r="G29" s="183">
        <v>14255.0</v>
      </c>
      <c r="H29" s="190">
        <f t="shared" si="1"/>
        <v>0.5542163991</v>
      </c>
      <c r="I29" s="183">
        <v>84.0</v>
      </c>
      <c r="J29" s="183">
        <v>43.0</v>
      </c>
      <c r="K29" s="183">
        <v>41.0</v>
      </c>
      <c r="L29" s="183">
        <v>5597.0</v>
      </c>
      <c r="M29" s="190">
        <v>0.17823705496465192</v>
      </c>
      <c r="N29" s="183">
        <v>3152.0</v>
      </c>
      <c r="O29" s="422">
        <v>0.5631588350902269</v>
      </c>
      <c r="P29" s="432">
        <v>2363.0</v>
      </c>
      <c r="Q29" s="433">
        <v>0.4221904591745578</v>
      </c>
      <c r="R29" s="31">
        <v>61.0</v>
      </c>
      <c r="S29" s="425">
        <v>0.01089869572985528</v>
      </c>
      <c r="T29" s="427">
        <v>0.0</v>
      </c>
      <c r="U29" s="425">
        <v>0.0</v>
      </c>
      <c r="V29" s="31">
        <v>3170.0</v>
      </c>
      <c r="W29" s="463">
        <v>0.5663748436662498</v>
      </c>
      <c r="X29" s="427">
        <v>0.0</v>
      </c>
      <c r="Y29" s="425">
        <v>0.0</v>
      </c>
      <c r="Z29" s="31">
        <v>3.0</v>
      </c>
      <c r="AA29" s="426">
        <v>5.360014293371449E-4</v>
      </c>
      <c r="AB29" s="467">
        <v>3738.0</v>
      </c>
      <c r="AC29" s="428">
        <v>0.6678577809540825</v>
      </c>
      <c r="AD29" s="429">
        <v>2277.0</v>
      </c>
      <c r="AE29" s="430">
        <f t="shared" si="5"/>
        <v>0.4068250849</v>
      </c>
      <c r="AF29" s="429">
        <v>648.0</v>
      </c>
      <c r="AG29" s="430">
        <f t="shared" si="6"/>
        <v>0.1157763087</v>
      </c>
      <c r="AH29" s="226" t="s">
        <v>421</v>
      </c>
      <c r="AI29" s="226" t="s">
        <v>422</v>
      </c>
      <c r="AJ29" s="226" t="s">
        <v>423</v>
      </c>
      <c r="AK29" s="226">
        <v>101.0</v>
      </c>
      <c r="AL29" s="226" t="s">
        <v>424</v>
      </c>
      <c r="AM29" s="226">
        <v>347.0</v>
      </c>
      <c r="AN29" s="431">
        <f t="shared" si="7"/>
        <v>0.08989637306</v>
      </c>
      <c r="AO29" s="226">
        <v>3860.0</v>
      </c>
      <c r="AP29" s="226"/>
      <c r="AQ29" s="226"/>
      <c r="AR29" s="2"/>
    </row>
    <row r="30" ht="14.25" customHeight="1">
      <c r="A30" s="181" t="s">
        <v>153</v>
      </c>
      <c r="B30" s="182">
        <v>877.0</v>
      </c>
      <c r="C30" s="182" t="s">
        <v>177</v>
      </c>
      <c r="D30" s="35">
        <v>331336.0</v>
      </c>
      <c r="E30" s="183">
        <v>269924.0</v>
      </c>
      <c r="F30" s="183">
        <v>147997.0</v>
      </c>
      <c r="G30" s="183">
        <v>121927.0</v>
      </c>
      <c r="H30" s="190">
        <f t="shared" si="1"/>
        <v>0.4517086291</v>
      </c>
      <c r="I30" s="183">
        <v>6287.0</v>
      </c>
      <c r="J30" s="183">
        <v>3989.0</v>
      </c>
      <c r="K30" s="183">
        <v>2298.0</v>
      </c>
      <c r="L30" s="183">
        <v>55125.0</v>
      </c>
      <c r="M30" s="190">
        <v>0.16637190042736075</v>
      </c>
      <c r="N30" s="183">
        <v>29669.0</v>
      </c>
      <c r="O30" s="422">
        <v>0.5382131519274377</v>
      </c>
      <c r="P30" s="432">
        <v>31054.0</v>
      </c>
      <c r="Q30" s="484">
        <v>0.5633378684807256</v>
      </c>
      <c r="R30" s="31">
        <v>3262.0</v>
      </c>
      <c r="S30" s="425">
        <v>0.05917460317460317</v>
      </c>
      <c r="T30" s="31">
        <v>1525.0</v>
      </c>
      <c r="U30" s="425">
        <v>0.027664399092970523</v>
      </c>
      <c r="V30" s="31">
        <v>17187.0</v>
      </c>
      <c r="W30" s="425">
        <v>0.31178231292517006</v>
      </c>
      <c r="X30" s="31">
        <v>17.0</v>
      </c>
      <c r="Y30" s="434">
        <v>3.0839002267573696E-4</v>
      </c>
      <c r="Z30" s="31">
        <v>2080.0</v>
      </c>
      <c r="AA30" s="425">
        <v>0.03773242630385488</v>
      </c>
      <c r="AB30" s="467">
        <v>47478.0</v>
      </c>
      <c r="AC30" s="428">
        <v>0.8612789115646259</v>
      </c>
      <c r="AD30" s="429">
        <v>36228.0</v>
      </c>
      <c r="AE30" s="430">
        <f t="shared" si="5"/>
        <v>0.6571972789</v>
      </c>
      <c r="AF30" s="429">
        <v>8291.0</v>
      </c>
      <c r="AG30" s="430">
        <f t="shared" si="6"/>
        <v>0.1504036281</v>
      </c>
      <c r="AH30" s="226" t="s">
        <v>425</v>
      </c>
      <c r="AI30" s="226" t="s">
        <v>426</v>
      </c>
      <c r="AJ30" s="226" t="s">
        <v>425</v>
      </c>
      <c r="AK30" s="226">
        <v>125.0</v>
      </c>
      <c r="AL30" s="226" t="s">
        <v>426</v>
      </c>
      <c r="AM30" s="226">
        <v>2685.0</v>
      </c>
      <c r="AN30" s="431">
        <f t="shared" si="7"/>
        <v>0.1914984666</v>
      </c>
      <c r="AO30" s="226">
        <v>14021.0</v>
      </c>
      <c r="AP30" s="226"/>
      <c r="AQ30" s="226"/>
      <c r="AR30" s="2"/>
    </row>
    <row r="31" ht="14.25" customHeight="1">
      <c r="A31" s="181" t="s">
        <v>159</v>
      </c>
      <c r="B31" s="182">
        <v>897.0</v>
      </c>
      <c r="C31" s="182" t="s">
        <v>178</v>
      </c>
      <c r="D31" s="35">
        <v>12355.0</v>
      </c>
      <c r="E31" s="183">
        <v>11395.0</v>
      </c>
      <c r="F31" s="183">
        <v>2882.0</v>
      </c>
      <c r="G31" s="183">
        <v>8513.0</v>
      </c>
      <c r="H31" s="190">
        <f t="shared" si="1"/>
        <v>0.7470820535</v>
      </c>
      <c r="I31" s="183">
        <v>158.0</v>
      </c>
      <c r="J31" s="183">
        <v>47.0</v>
      </c>
      <c r="K31" s="183">
        <v>111.0</v>
      </c>
      <c r="L31" s="183">
        <v>802.0</v>
      </c>
      <c r="M31" s="190">
        <v>0.06491299069202752</v>
      </c>
      <c r="N31" s="183">
        <v>650.0</v>
      </c>
      <c r="O31" s="422">
        <v>0.8104738154613467</v>
      </c>
      <c r="P31" s="432">
        <v>162.0</v>
      </c>
      <c r="Q31" s="433">
        <v>0.20199501246882792</v>
      </c>
      <c r="R31" s="31">
        <v>42.0</v>
      </c>
      <c r="S31" s="425">
        <v>0.05236907730673317</v>
      </c>
      <c r="T31" s="31">
        <v>190.0</v>
      </c>
      <c r="U31" s="425">
        <v>0.23690773067331672</v>
      </c>
      <c r="V31" s="31">
        <v>408.0</v>
      </c>
      <c r="W31" s="463">
        <v>0.5087281795511222</v>
      </c>
      <c r="X31" s="427">
        <v>0.0</v>
      </c>
      <c r="Y31" s="425">
        <v>0.0</v>
      </c>
      <c r="Z31" s="427">
        <v>0.0</v>
      </c>
      <c r="AA31" s="425">
        <v>0.0</v>
      </c>
      <c r="AB31" s="467">
        <v>423.0</v>
      </c>
      <c r="AC31" s="428">
        <v>0.527431421446384</v>
      </c>
      <c r="AD31" s="429">
        <v>139.0</v>
      </c>
      <c r="AE31" s="430">
        <f t="shared" si="5"/>
        <v>0.1733167082</v>
      </c>
      <c r="AF31" s="429">
        <v>88.0</v>
      </c>
      <c r="AG31" s="430">
        <f t="shared" si="6"/>
        <v>0.1097256858</v>
      </c>
      <c r="AH31" s="226" t="s">
        <v>427</v>
      </c>
      <c r="AI31" s="226" t="s">
        <v>428</v>
      </c>
      <c r="AJ31" s="226" t="s">
        <v>429</v>
      </c>
      <c r="AK31" s="226">
        <v>7.0</v>
      </c>
      <c r="AL31" s="226" t="s">
        <v>428</v>
      </c>
      <c r="AM31" s="226">
        <v>78.0</v>
      </c>
      <c r="AN31" s="431">
        <f t="shared" si="7"/>
        <v>0.02516129032</v>
      </c>
      <c r="AO31" s="226">
        <v>3100.0</v>
      </c>
      <c r="AP31" s="226"/>
      <c r="AQ31" s="226"/>
      <c r="AR31" s="2"/>
    </row>
    <row r="32" ht="14.25" customHeight="1">
      <c r="A32" s="468" t="s">
        <v>148</v>
      </c>
      <c r="B32" s="469">
        <v>928.0</v>
      </c>
      <c r="C32" s="421" t="s">
        <v>179</v>
      </c>
      <c r="D32" s="458">
        <v>257134.0</v>
      </c>
      <c r="E32" s="459">
        <v>193598.0</v>
      </c>
      <c r="F32" s="459">
        <v>52993.0</v>
      </c>
      <c r="G32" s="459">
        <v>140605.0</v>
      </c>
      <c r="H32" s="448">
        <f t="shared" si="1"/>
        <v>0.7262729987</v>
      </c>
      <c r="I32" s="459">
        <v>539.0</v>
      </c>
      <c r="J32" s="459">
        <v>115.0</v>
      </c>
      <c r="K32" s="459">
        <v>424.0</v>
      </c>
      <c r="L32" s="459">
        <v>62997.0</v>
      </c>
      <c r="M32" s="217">
        <v>0.24499677211103937</v>
      </c>
      <c r="N32" s="447">
        <v>52404.0</v>
      </c>
      <c r="O32" s="470">
        <v>0.8318491356731272</v>
      </c>
      <c r="P32" s="423">
        <v>15937.0</v>
      </c>
      <c r="Q32" s="472">
        <v>0.25298030064923727</v>
      </c>
      <c r="R32" s="451">
        <v>380.0</v>
      </c>
      <c r="S32" s="453">
        <v>0.006032033271425623</v>
      </c>
      <c r="T32" s="451">
        <v>2244.0</v>
      </c>
      <c r="U32" s="453">
        <v>0.035620743844945</v>
      </c>
      <c r="V32" s="451">
        <v>44426.0</v>
      </c>
      <c r="W32" s="463">
        <v>0.7052081845167231</v>
      </c>
      <c r="X32" s="451">
        <v>10.0</v>
      </c>
      <c r="Y32" s="480">
        <v>1.5873771766909534E-4</v>
      </c>
      <c r="Z32" s="455">
        <v>0.0</v>
      </c>
      <c r="AA32" s="453">
        <v>0.0</v>
      </c>
      <c r="AB32" s="473">
        <v>36673.0</v>
      </c>
      <c r="AC32" s="428">
        <v>0.5821388320078734</v>
      </c>
      <c r="AD32" s="429">
        <v>20811.0</v>
      </c>
      <c r="AE32" s="430">
        <f t="shared" si="5"/>
        <v>0.3303490642</v>
      </c>
      <c r="AF32" s="429">
        <v>4905.0</v>
      </c>
      <c r="AG32" s="430">
        <f t="shared" si="6"/>
        <v>0.07786085052</v>
      </c>
      <c r="AH32" s="474" t="s">
        <v>430</v>
      </c>
      <c r="AI32" s="474" t="s">
        <v>431</v>
      </c>
      <c r="AJ32" s="474" t="s">
        <v>432</v>
      </c>
      <c r="AK32" s="474">
        <v>195.0</v>
      </c>
      <c r="AL32" s="474" t="s">
        <v>433</v>
      </c>
      <c r="AM32" s="474">
        <v>1263.0</v>
      </c>
      <c r="AN32" s="431">
        <f t="shared" si="7"/>
        <v>0.1421336935</v>
      </c>
      <c r="AO32" s="474">
        <v>8886.0</v>
      </c>
      <c r="AP32" s="474"/>
      <c r="AQ32" s="474"/>
      <c r="AR32" s="475"/>
    </row>
    <row r="33" ht="14.25" customHeight="1">
      <c r="A33" s="181" t="s">
        <v>155</v>
      </c>
      <c r="B33" s="182">
        <v>903.0</v>
      </c>
      <c r="C33" s="182" t="s">
        <v>180</v>
      </c>
      <c r="D33" s="35">
        <v>724525.0</v>
      </c>
      <c r="E33" s="183">
        <v>662915.0</v>
      </c>
      <c r="F33" s="183">
        <v>403853.0</v>
      </c>
      <c r="G33" s="183">
        <v>259062.0</v>
      </c>
      <c r="H33" s="190">
        <f t="shared" si="1"/>
        <v>0.390792183</v>
      </c>
      <c r="I33" s="183">
        <v>6663.0</v>
      </c>
      <c r="J33" s="183">
        <v>4288.0</v>
      </c>
      <c r="K33" s="183">
        <v>2375.0</v>
      </c>
      <c r="L33" s="183">
        <v>54947.0</v>
      </c>
      <c r="M33" s="190">
        <v>0.07583865291052759</v>
      </c>
      <c r="N33" s="183">
        <v>25913.0</v>
      </c>
      <c r="O33" s="422">
        <v>0.4715999053633501</v>
      </c>
      <c r="P33" s="432">
        <v>3809.0</v>
      </c>
      <c r="Q33" s="433">
        <v>0.06932134602435074</v>
      </c>
      <c r="R33" s="31">
        <v>1667.0</v>
      </c>
      <c r="S33" s="425">
        <v>0.030338326023258776</v>
      </c>
      <c r="T33" s="427">
        <v>0.0</v>
      </c>
      <c r="U33" s="425">
        <v>0.0</v>
      </c>
      <c r="V33" s="31">
        <v>45032.0</v>
      </c>
      <c r="W33" s="463">
        <v>0.8195533878100715</v>
      </c>
      <c r="X33" s="31">
        <v>4399.0</v>
      </c>
      <c r="Y33" s="425">
        <v>0.0800589659126067</v>
      </c>
      <c r="Z33" s="31">
        <v>40.0</v>
      </c>
      <c r="AA33" s="426">
        <v>7.279742297122681E-4</v>
      </c>
      <c r="AB33" s="467">
        <v>32599.0</v>
      </c>
      <c r="AC33" s="428">
        <v>0.5932807978597557</v>
      </c>
      <c r="AD33" s="429">
        <v>25849.0</v>
      </c>
      <c r="AE33" s="430">
        <f t="shared" si="5"/>
        <v>0.4704351466</v>
      </c>
      <c r="AF33" s="429">
        <v>897.0</v>
      </c>
      <c r="AG33" s="430">
        <f t="shared" si="6"/>
        <v>0.0163248221</v>
      </c>
      <c r="AH33" s="226" t="s">
        <v>434</v>
      </c>
      <c r="AI33" s="226" t="s">
        <v>435</v>
      </c>
      <c r="AJ33" s="226" t="s">
        <v>436</v>
      </c>
      <c r="AK33" s="226">
        <v>23.0</v>
      </c>
      <c r="AL33" s="226" t="s">
        <v>437</v>
      </c>
      <c r="AM33" s="226">
        <v>460.0</v>
      </c>
      <c r="AN33" s="431">
        <f t="shared" si="7"/>
        <v>0.02260220126</v>
      </c>
      <c r="AO33" s="226">
        <v>20352.0</v>
      </c>
      <c r="AP33" s="226"/>
      <c r="AQ33" s="226"/>
      <c r="AR33" s="2"/>
    </row>
    <row r="34" ht="14.25" customHeight="1">
      <c r="A34" s="181" t="s">
        <v>150</v>
      </c>
      <c r="B34" s="182">
        <v>751.0</v>
      </c>
      <c r="C34" s="437" t="s">
        <v>181</v>
      </c>
      <c r="D34" s="35">
        <v>13613.0</v>
      </c>
      <c r="E34" s="183">
        <v>8325.0</v>
      </c>
      <c r="F34" s="183">
        <v>3594.0</v>
      </c>
      <c r="G34" s="183">
        <v>4731.0</v>
      </c>
      <c r="H34" s="190">
        <f t="shared" si="1"/>
        <v>0.5682882883</v>
      </c>
      <c r="I34" s="183">
        <v>20.0</v>
      </c>
      <c r="J34" s="183">
        <v>2.0</v>
      </c>
      <c r="K34" s="183">
        <v>18.0</v>
      </c>
      <c r="L34" s="183">
        <v>5268.0</v>
      </c>
      <c r="M34" s="213">
        <v>0.3869830309263204</v>
      </c>
      <c r="N34" s="183">
        <v>3421.0</v>
      </c>
      <c r="O34" s="422">
        <v>0.6493925588458618</v>
      </c>
      <c r="P34" s="440">
        <v>3550.0</v>
      </c>
      <c r="Q34" s="424">
        <v>0.6738800303720577</v>
      </c>
      <c r="R34" s="31">
        <v>76.0</v>
      </c>
      <c r="S34" s="425">
        <v>0.01442672741078208</v>
      </c>
      <c r="T34" s="31">
        <v>66.0</v>
      </c>
      <c r="U34" s="425">
        <v>0.012528473804100227</v>
      </c>
      <c r="V34" s="31">
        <v>1576.0</v>
      </c>
      <c r="W34" s="425">
        <v>0.29916476841306</v>
      </c>
      <c r="X34" s="427">
        <v>0.0</v>
      </c>
      <c r="Y34" s="425">
        <v>0.0</v>
      </c>
      <c r="Z34" s="427">
        <v>0.0</v>
      </c>
      <c r="AA34" s="425">
        <v>0.0</v>
      </c>
      <c r="AB34" s="467">
        <v>4655.0</v>
      </c>
      <c r="AC34" s="428">
        <v>0.8836370539104025</v>
      </c>
      <c r="AD34" s="429">
        <v>2404.0</v>
      </c>
      <c r="AE34" s="430">
        <f t="shared" si="5"/>
        <v>0.456340167</v>
      </c>
      <c r="AF34" s="429">
        <v>67.0</v>
      </c>
      <c r="AG34" s="430">
        <f t="shared" si="6"/>
        <v>0.01271829916</v>
      </c>
      <c r="AH34" s="226" t="s">
        <v>438</v>
      </c>
      <c r="AI34" s="226" t="s">
        <v>439</v>
      </c>
      <c r="AJ34" s="226" t="s">
        <v>438</v>
      </c>
      <c r="AK34" s="226">
        <v>304.0</v>
      </c>
      <c r="AL34" s="226" t="s">
        <v>439</v>
      </c>
      <c r="AM34" s="226">
        <v>867.0</v>
      </c>
      <c r="AN34" s="431">
        <f t="shared" si="7"/>
        <v>0.3727429063</v>
      </c>
      <c r="AO34" s="226">
        <v>2326.0</v>
      </c>
      <c r="AP34" s="226"/>
      <c r="AQ34" s="226"/>
      <c r="AR34" s="2"/>
    </row>
    <row r="35" ht="14.25" customHeight="1">
      <c r="A35" s="181" t="s">
        <v>148</v>
      </c>
      <c r="B35" s="182">
        <v>855.0</v>
      </c>
      <c r="C35" s="182" t="s">
        <v>182</v>
      </c>
      <c r="D35" s="35">
        <v>569920.0</v>
      </c>
      <c r="E35" s="183">
        <v>500512.0</v>
      </c>
      <c r="F35" s="183">
        <v>126592.0</v>
      </c>
      <c r="G35" s="183">
        <v>373920.0</v>
      </c>
      <c r="H35" s="190">
        <f t="shared" si="1"/>
        <v>0.7470749952</v>
      </c>
      <c r="I35" s="183">
        <v>16002.0</v>
      </c>
      <c r="J35" s="183">
        <v>7144.0</v>
      </c>
      <c r="K35" s="183">
        <v>8858.0</v>
      </c>
      <c r="L35" s="183">
        <v>53406.0</v>
      </c>
      <c r="M35" s="190">
        <v>0.09370788882650197</v>
      </c>
      <c r="N35" s="183">
        <v>44825.0</v>
      </c>
      <c r="O35" s="422">
        <v>0.8393251694566154</v>
      </c>
      <c r="P35" s="432">
        <v>1766.0</v>
      </c>
      <c r="Q35" s="433">
        <v>0.03306744560536269</v>
      </c>
      <c r="R35" s="31">
        <v>291.0</v>
      </c>
      <c r="S35" s="425">
        <v>0.0054488259746095944</v>
      </c>
      <c r="T35" s="31">
        <v>5545.0</v>
      </c>
      <c r="U35" s="425">
        <v>0.1038272853237464</v>
      </c>
      <c r="V35" s="31">
        <v>45376.0</v>
      </c>
      <c r="W35" s="463">
        <v>0.8496423622813916</v>
      </c>
      <c r="X35" s="427">
        <v>0.0</v>
      </c>
      <c r="Y35" s="425">
        <v>0.0</v>
      </c>
      <c r="Z35" s="31">
        <v>428.0</v>
      </c>
      <c r="AA35" s="426">
        <v>0.008014080814889713</v>
      </c>
      <c r="AB35" s="467">
        <v>25391.0</v>
      </c>
      <c r="AC35" s="430">
        <v>0.47543347189454366</v>
      </c>
      <c r="AD35" s="429">
        <v>14807.0</v>
      </c>
      <c r="AE35" s="430">
        <f t="shared" si="5"/>
        <v>0.2772534921</v>
      </c>
      <c r="AF35" s="429">
        <v>7541.0</v>
      </c>
      <c r="AG35" s="430">
        <f t="shared" si="6"/>
        <v>0.1412013631</v>
      </c>
      <c r="AH35" s="226" t="s">
        <v>440</v>
      </c>
      <c r="AI35" s="226" t="s">
        <v>441</v>
      </c>
      <c r="AJ35" s="226" t="s">
        <v>442</v>
      </c>
      <c r="AK35" s="226">
        <v>9.0</v>
      </c>
      <c r="AL35" s="226" t="s">
        <v>443</v>
      </c>
      <c r="AM35" s="226">
        <v>111.0</v>
      </c>
      <c r="AN35" s="431">
        <f t="shared" si="7"/>
        <v>0.01364642242</v>
      </c>
      <c r="AO35" s="226">
        <v>8134.0</v>
      </c>
      <c r="AP35" s="226"/>
      <c r="AQ35" s="226"/>
      <c r="AR35" s="2"/>
    </row>
    <row r="36" ht="14.25" customHeight="1">
      <c r="A36" s="444" t="s">
        <v>150</v>
      </c>
      <c r="B36" s="445">
        <v>754.0</v>
      </c>
      <c r="C36" s="445" t="s">
        <v>183</v>
      </c>
      <c r="D36" s="458">
        <v>320894.0</v>
      </c>
      <c r="E36" s="459">
        <v>299353.0</v>
      </c>
      <c r="F36" s="459">
        <v>118399.0</v>
      </c>
      <c r="G36" s="459">
        <v>180954.0</v>
      </c>
      <c r="H36" s="448">
        <f t="shared" si="1"/>
        <v>0.6044836698</v>
      </c>
      <c r="I36" s="459">
        <v>1702.0</v>
      </c>
      <c r="J36" s="459">
        <v>906.0</v>
      </c>
      <c r="K36" s="459">
        <v>796.0</v>
      </c>
      <c r="L36" s="459">
        <v>19839.0</v>
      </c>
      <c r="M36" s="460">
        <v>0.061824153770403935</v>
      </c>
      <c r="N36" s="447">
        <v>12665.0</v>
      </c>
      <c r="O36" s="449">
        <v>0.6383890317052271</v>
      </c>
      <c r="P36" s="461">
        <v>14074.0</v>
      </c>
      <c r="Q36" s="462">
        <v>0.709410756590554</v>
      </c>
      <c r="R36" s="479">
        <v>3841.0</v>
      </c>
      <c r="S36" s="454">
        <v>0.19360854881798478</v>
      </c>
      <c r="T36" s="479">
        <v>1749.0</v>
      </c>
      <c r="U36" s="454">
        <v>0.08815968546801754</v>
      </c>
      <c r="V36" s="479">
        <v>0.0</v>
      </c>
      <c r="W36" s="454">
        <v>0.0</v>
      </c>
      <c r="X36" s="485">
        <v>0.0</v>
      </c>
      <c r="Y36" s="454">
        <v>0.0</v>
      </c>
      <c r="Z36" s="479">
        <v>175.0</v>
      </c>
      <c r="AA36" s="464">
        <v>0.008821009123443722</v>
      </c>
      <c r="AB36" s="486">
        <v>12215.0</v>
      </c>
      <c r="AC36" s="428">
        <v>0.6157064368163718</v>
      </c>
      <c r="AD36" s="429">
        <v>1842.0</v>
      </c>
      <c r="AE36" s="430">
        <f t="shared" si="5"/>
        <v>0.09284742175</v>
      </c>
      <c r="AF36" s="429">
        <v>11919.0</v>
      </c>
      <c r="AG36" s="430">
        <f t="shared" si="6"/>
        <v>0.60078633</v>
      </c>
      <c r="AH36" s="457" t="s">
        <v>444</v>
      </c>
      <c r="AI36" s="457" t="s">
        <v>445</v>
      </c>
      <c r="AJ36" s="457" t="s">
        <v>444</v>
      </c>
      <c r="AK36" s="457">
        <v>125.0</v>
      </c>
      <c r="AL36" s="457" t="s">
        <v>446</v>
      </c>
      <c r="AM36" s="457">
        <v>803.0</v>
      </c>
      <c r="AN36" s="431">
        <f t="shared" si="7"/>
        <v>0.1288924559</v>
      </c>
      <c r="AO36" s="457">
        <v>6230.0</v>
      </c>
      <c r="AP36" s="457"/>
      <c r="AQ36" s="457"/>
      <c r="AR36" s="466"/>
    </row>
    <row r="37" ht="14.25" customHeight="1">
      <c r="A37" s="181" t="s">
        <v>148</v>
      </c>
      <c r="B37" s="182">
        <v>834.0</v>
      </c>
      <c r="C37" s="421" t="s">
        <v>184</v>
      </c>
      <c r="D37" s="35">
        <v>36433.0</v>
      </c>
      <c r="E37" s="183">
        <v>26501.0</v>
      </c>
      <c r="F37" s="183">
        <v>17345.0</v>
      </c>
      <c r="G37" s="183">
        <v>9156.0</v>
      </c>
      <c r="H37" s="190">
        <f t="shared" si="1"/>
        <v>0.3454963964</v>
      </c>
      <c r="I37" s="183">
        <v>160.0</v>
      </c>
      <c r="J37" s="183">
        <v>89.0</v>
      </c>
      <c r="K37" s="183">
        <v>71.0</v>
      </c>
      <c r="L37" s="183">
        <v>9772.0</v>
      </c>
      <c r="M37" s="217">
        <v>0.2682183734526391</v>
      </c>
      <c r="N37" s="183">
        <v>3507.0</v>
      </c>
      <c r="O37" s="422">
        <v>0.35888252148997135</v>
      </c>
      <c r="P37" s="423">
        <v>5241.0</v>
      </c>
      <c r="Q37" s="424">
        <v>0.5363282848956201</v>
      </c>
      <c r="R37" s="31">
        <v>66.0</v>
      </c>
      <c r="S37" s="425">
        <v>0.006753990994678674</v>
      </c>
      <c r="T37" s="31">
        <v>0.0</v>
      </c>
      <c r="U37" s="425">
        <v>0.0</v>
      </c>
      <c r="V37" s="31">
        <v>3767.0</v>
      </c>
      <c r="W37" s="425">
        <v>0.38548915268112977</v>
      </c>
      <c r="X37" s="31">
        <v>282.0</v>
      </c>
      <c r="Y37" s="425">
        <v>0.02885796152271797</v>
      </c>
      <c r="Z37" s="31">
        <v>416.0</v>
      </c>
      <c r="AA37" s="425">
        <v>0.04257060990585346</v>
      </c>
      <c r="AB37" s="467">
        <v>8551.0</v>
      </c>
      <c r="AC37" s="428">
        <v>0.8750511665984445</v>
      </c>
      <c r="AD37" s="429">
        <v>6875.0</v>
      </c>
      <c r="AE37" s="430">
        <f t="shared" si="5"/>
        <v>0.7035407286</v>
      </c>
      <c r="AF37" s="429">
        <v>39.0</v>
      </c>
      <c r="AG37" s="430">
        <f t="shared" si="6"/>
        <v>0.003990994679</v>
      </c>
      <c r="AH37" s="226" t="s">
        <v>447</v>
      </c>
      <c r="AI37" s="226" t="s">
        <v>448</v>
      </c>
      <c r="AJ37" s="226" t="s">
        <v>447</v>
      </c>
      <c r="AK37" s="226">
        <v>341.0</v>
      </c>
      <c r="AL37" s="226" t="s">
        <v>448</v>
      </c>
      <c r="AM37" s="226">
        <v>1149.0</v>
      </c>
      <c r="AN37" s="431">
        <f t="shared" si="7"/>
        <v>0.3313148789</v>
      </c>
      <c r="AO37" s="226">
        <v>3468.0</v>
      </c>
      <c r="AP37" s="226"/>
      <c r="AQ37" s="226"/>
      <c r="AR37" s="2"/>
    </row>
    <row r="38" ht="14.25" customHeight="1">
      <c r="A38" s="181" t="s">
        <v>159</v>
      </c>
      <c r="B38" s="182">
        <v>851.0</v>
      </c>
      <c r="C38" s="182" t="s">
        <v>185</v>
      </c>
      <c r="D38" s="35">
        <v>1507828.0</v>
      </c>
      <c r="E38" s="183">
        <v>1193090.0</v>
      </c>
      <c r="F38" s="183">
        <v>676820.0</v>
      </c>
      <c r="G38" s="183">
        <v>516270.0</v>
      </c>
      <c r="H38" s="190">
        <f t="shared" si="1"/>
        <v>0.4327167272</v>
      </c>
      <c r="I38" s="183">
        <v>25303.0</v>
      </c>
      <c r="J38" s="183">
        <v>13555.0</v>
      </c>
      <c r="K38" s="183">
        <v>11748.0</v>
      </c>
      <c r="L38" s="183">
        <v>289435.0</v>
      </c>
      <c r="M38" s="190">
        <v>0.19195491793493688</v>
      </c>
      <c r="N38" s="183">
        <v>160737.0</v>
      </c>
      <c r="O38" s="422">
        <v>0.5553474873460362</v>
      </c>
      <c r="P38" s="432">
        <v>156928.0</v>
      </c>
      <c r="Q38" s="424">
        <v>0.5421873650387825</v>
      </c>
      <c r="R38" s="31">
        <v>1262.0</v>
      </c>
      <c r="S38" s="426">
        <v>0.004360219047454523</v>
      </c>
      <c r="T38" s="31">
        <v>5856.0</v>
      </c>
      <c r="U38" s="425">
        <v>0.020232521982483112</v>
      </c>
      <c r="V38" s="31">
        <v>105782.0</v>
      </c>
      <c r="W38" s="425">
        <v>0.36547756836595435</v>
      </c>
      <c r="X38" s="31">
        <v>16512.0</v>
      </c>
      <c r="Y38" s="425">
        <v>0.057049078376837634</v>
      </c>
      <c r="Z38" s="31">
        <v>3095.0</v>
      </c>
      <c r="AA38" s="425">
        <v>0.010693247188487916</v>
      </c>
      <c r="AB38" s="467">
        <v>241787.0</v>
      </c>
      <c r="AC38" s="428">
        <v>0.8353758184048232</v>
      </c>
      <c r="AD38" s="429">
        <v>221447.0</v>
      </c>
      <c r="AE38" s="430">
        <f t="shared" si="5"/>
        <v>0.7651009726</v>
      </c>
      <c r="AF38" s="429">
        <v>46248.0</v>
      </c>
      <c r="AG38" s="430">
        <f t="shared" si="6"/>
        <v>0.1597871716</v>
      </c>
      <c r="AH38" s="226" t="s">
        <v>449</v>
      </c>
      <c r="AI38" s="226" t="s">
        <v>450</v>
      </c>
      <c r="AJ38" s="226" t="s">
        <v>451</v>
      </c>
      <c r="AK38" s="226">
        <v>420.0</v>
      </c>
      <c r="AL38" s="226" t="s">
        <v>452</v>
      </c>
      <c r="AM38" s="226">
        <v>4592.0</v>
      </c>
      <c r="AN38" s="431">
        <f t="shared" si="7"/>
        <v>0.3065829884</v>
      </c>
      <c r="AO38" s="226">
        <v>14978.0</v>
      </c>
      <c r="AP38" s="226"/>
      <c r="AQ38" s="226"/>
      <c r="AR38" s="2"/>
    </row>
    <row r="39" ht="14.25" customHeight="1">
      <c r="A39" s="181" t="s">
        <v>159</v>
      </c>
      <c r="B39" s="182">
        <v>719.0</v>
      </c>
      <c r="C39" s="182" t="s">
        <v>186</v>
      </c>
      <c r="D39" s="35">
        <v>123212.0</v>
      </c>
      <c r="E39" s="183">
        <v>109773.0</v>
      </c>
      <c r="F39" s="183">
        <v>50365.0</v>
      </c>
      <c r="G39" s="183">
        <v>59408.0</v>
      </c>
      <c r="H39" s="190">
        <f t="shared" si="1"/>
        <v>0.5411895457</v>
      </c>
      <c r="I39" s="183">
        <v>3612.0</v>
      </c>
      <c r="J39" s="183">
        <v>1672.0</v>
      </c>
      <c r="K39" s="183">
        <v>1940.0</v>
      </c>
      <c r="L39" s="183">
        <v>9827.0</v>
      </c>
      <c r="M39" s="190">
        <v>0.079756841866052</v>
      </c>
      <c r="N39" s="183">
        <v>6416.0</v>
      </c>
      <c r="O39" s="422">
        <v>0.6528950849699806</v>
      </c>
      <c r="P39" s="432">
        <v>1082.0</v>
      </c>
      <c r="Q39" s="433">
        <v>0.11010481326956345</v>
      </c>
      <c r="R39" s="31">
        <v>148.0</v>
      </c>
      <c r="S39" s="425">
        <v>0.015060547471252671</v>
      </c>
      <c r="T39" s="31">
        <v>431.0</v>
      </c>
      <c r="U39" s="425">
        <v>0.04385875648722906</v>
      </c>
      <c r="V39" s="31">
        <v>7713.0</v>
      </c>
      <c r="W39" s="463">
        <v>0.7848783962552153</v>
      </c>
      <c r="X39" s="31">
        <v>445.0</v>
      </c>
      <c r="Y39" s="425">
        <v>0.045283402869644857</v>
      </c>
      <c r="Z39" s="31">
        <v>8.0</v>
      </c>
      <c r="AA39" s="426">
        <v>8.14083647094739E-4</v>
      </c>
      <c r="AB39" s="467">
        <v>5795.0</v>
      </c>
      <c r="AC39" s="428">
        <v>0.5897018418642516</v>
      </c>
      <c r="AD39" s="429">
        <v>5301.0</v>
      </c>
      <c r="AE39" s="430">
        <f t="shared" si="5"/>
        <v>0.5394321767</v>
      </c>
      <c r="AF39" s="429">
        <v>1673.0</v>
      </c>
      <c r="AG39" s="430">
        <f t="shared" si="6"/>
        <v>0.1702452427</v>
      </c>
      <c r="AH39" s="226" t="s">
        <v>453</v>
      </c>
      <c r="AI39" s="226" t="s">
        <v>454</v>
      </c>
      <c r="AJ39" s="226" t="s">
        <v>455</v>
      </c>
      <c r="AK39" s="226">
        <v>34.0</v>
      </c>
      <c r="AL39" s="226" t="s">
        <v>456</v>
      </c>
      <c r="AM39" s="226">
        <v>181.0</v>
      </c>
      <c r="AN39" s="431">
        <f t="shared" si="7"/>
        <v>0.03603424248</v>
      </c>
      <c r="AO39" s="226">
        <v>5023.0</v>
      </c>
      <c r="AP39" s="226"/>
      <c r="AQ39" s="226"/>
      <c r="AR39" s="2"/>
    </row>
    <row r="40" ht="14.25" customHeight="1">
      <c r="A40" s="181" t="s">
        <v>153</v>
      </c>
      <c r="B40" s="182">
        <v>866.0</v>
      </c>
      <c r="C40" s="182" t="s">
        <v>187</v>
      </c>
      <c r="D40" s="35">
        <v>581687.0</v>
      </c>
      <c r="E40" s="183">
        <v>482582.0</v>
      </c>
      <c r="F40" s="183">
        <v>291963.0</v>
      </c>
      <c r="G40" s="183">
        <v>190619.0</v>
      </c>
      <c r="H40" s="190">
        <f t="shared" si="1"/>
        <v>0.3949981558</v>
      </c>
      <c r="I40" s="183">
        <v>1422.0</v>
      </c>
      <c r="J40" s="183">
        <v>738.0</v>
      </c>
      <c r="K40" s="183">
        <v>684.0</v>
      </c>
      <c r="L40" s="183">
        <v>97683.0</v>
      </c>
      <c r="M40" s="190">
        <v>0.16793051933428116</v>
      </c>
      <c r="N40" s="183">
        <v>62447.0</v>
      </c>
      <c r="O40" s="422">
        <v>0.6392821678285884</v>
      </c>
      <c r="P40" s="432">
        <v>84437.0</v>
      </c>
      <c r="Q40" s="424">
        <v>0.8643981040713328</v>
      </c>
      <c r="R40" s="31">
        <v>447.0</v>
      </c>
      <c r="S40" s="426">
        <v>0.004576026534811584</v>
      </c>
      <c r="T40" s="31">
        <v>117.0</v>
      </c>
      <c r="U40" s="426">
        <v>0.0011977519117963207</v>
      </c>
      <c r="V40" s="31">
        <v>10844.0</v>
      </c>
      <c r="W40" s="425">
        <v>0.11101215155144703</v>
      </c>
      <c r="X40" s="427">
        <v>0.0</v>
      </c>
      <c r="Y40" s="425">
        <v>0.0</v>
      </c>
      <c r="Z40" s="31">
        <v>1838.0</v>
      </c>
      <c r="AA40" s="425">
        <v>0.018815965930612286</v>
      </c>
      <c r="AB40" s="467">
        <v>86527.0</v>
      </c>
      <c r="AC40" s="428">
        <v>0.8857938433504294</v>
      </c>
      <c r="AD40" s="429">
        <v>59730.0</v>
      </c>
      <c r="AE40" s="430">
        <f t="shared" si="5"/>
        <v>0.6114677068</v>
      </c>
      <c r="AF40" s="429">
        <v>34336.0</v>
      </c>
      <c r="AG40" s="430">
        <f t="shared" si="6"/>
        <v>0.3515043559</v>
      </c>
      <c r="AH40" s="226" t="s">
        <v>457</v>
      </c>
      <c r="AI40" s="226" t="s">
        <v>458</v>
      </c>
      <c r="AJ40" s="226" t="s">
        <v>457</v>
      </c>
      <c r="AK40" s="226">
        <v>339.0</v>
      </c>
      <c r="AL40" s="226" t="s">
        <v>458</v>
      </c>
      <c r="AM40" s="226">
        <v>9602.0</v>
      </c>
      <c r="AN40" s="431">
        <f t="shared" si="7"/>
        <v>0.2666703697</v>
      </c>
      <c r="AO40" s="226">
        <v>36007.0</v>
      </c>
      <c r="AP40" s="226"/>
      <c r="AQ40" s="226"/>
      <c r="AR40" s="2"/>
    </row>
    <row r="41" ht="14.25" customHeight="1">
      <c r="C41" s="230" t="s">
        <v>67</v>
      </c>
      <c r="D41" s="237">
        <v>9507123.0</v>
      </c>
      <c r="E41" s="237">
        <v>8124019.0</v>
      </c>
      <c r="F41" s="237">
        <v>4065523.0</v>
      </c>
      <c r="G41" s="237">
        <v>4058496.0</v>
      </c>
      <c r="H41" s="235">
        <f t="shared" si="1"/>
        <v>0.499567517</v>
      </c>
      <c r="I41" s="237">
        <v>129791.0</v>
      </c>
      <c r="J41" s="237">
        <v>58990.0</v>
      </c>
      <c r="K41" s="237">
        <v>70801.0</v>
      </c>
      <c r="L41" s="237">
        <v>1253313.0</v>
      </c>
      <c r="M41" s="235">
        <v>0.13182884033371609</v>
      </c>
      <c r="N41" s="237">
        <v>747435.0</v>
      </c>
      <c r="O41" s="487">
        <v>0.5963673878751756</v>
      </c>
      <c r="P41" s="410">
        <v>518111.0</v>
      </c>
      <c r="Q41" s="488">
        <v>0.413393142814285</v>
      </c>
      <c r="R41" s="237">
        <v>20080.0</v>
      </c>
      <c r="S41" s="489">
        <v>0.01602153651960843</v>
      </c>
      <c r="T41" s="237">
        <v>47507.0</v>
      </c>
      <c r="U41" s="489">
        <v>0.03790513622694411</v>
      </c>
      <c r="V41" s="237">
        <v>603410.0</v>
      </c>
      <c r="W41" s="489">
        <v>0.48145195972594235</v>
      </c>
      <c r="X41" s="237">
        <v>22570.0</v>
      </c>
      <c r="Y41" s="489">
        <v>0.018008270878862663</v>
      </c>
      <c r="Z41" s="237">
        <v>41635.0</v>
      </c>
      <c r="AA41" s="489">
        <v>0.03321995383435742</v>
      </c>
      <c r="AB41" s="490">
        <v>907719.0</v>
      </c>
      <c r="AC41" s="491">
        <v>0.7242556328706397</v>
      </c>
      <c r="AD41" s="492">
        <f>SUM(AD5:AD40)</f>
        <v>701399</v>
      </c>
      <c r="AE41" s="430">
        <f t="shared" si="5"/>
        <v>0.5596359409</v>
      </c>
      <c r="AF41" s="492">
        <f>SUM(AF5:AF40)</f>
        <v>215360</v>
      </c>
      <c r="AG41" s="430">
        <f t="shared" si="6"/>
        <v>0.1718325749</v>
      </c>
      <c r="AH41" s="388"/>
      <c r="AI41" s="388"/>
      <c r="AJ41" s="388"/>
      <c r="AK41" s="388"/>
      <c r="AL41" s="388"/>
      <c r="AN41" s="226"/>
    </row>
    <row r="42" ht="14.25" customHeight="1">
      <c r="O42" s="411"/>
      <c r="P42" s="411"/>
      <c r="Q42" s="411"/>
      <c r="R42" s="411"/>
      <c r="S42" s="411"/>
      <c r="T42" s="411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E42" s="411"/>
      <c r="AF42" s="411"/>
      <c r="AG42" s="411"/>
    </row>
    <row r="43" ht="61.5" customHeight="1">
      <c r="C43" s="330" t="s">
        <v>459</v>
      </c>
      <c r="D43" s="330" t="s">
        <v>460</v>
      </c>
      <c r="E43" s="493" t="s">
        <v>272</v>
      </c>
      <c r="F43" s="493" t="s">
        <v>461</v>
      </c>
      <c r="O43" s="411"/>
      <c r="P43" s="411"/>
      <c r="Q43" s="494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L43" s="2" t="s">
        <v>462</v>
      </c>
      <c r="AM43" s="2"/>
      <c r="AN43" s="2"/>
      <c r="AO43" s="2"/>
      <c r="AP43" s="2"/>
      <c r="AQ43" s="2"/>
      <c r="AR43" s="2"/>
    </row>
    <row r="44" ht="14.25" customHeight="1">
      <c r="C44" s="226" t="s">
        <v>273</v>
      </c>
      <c r="D44" s="386">
        <v>0.06379432265885443</v>
      </c>
      <c r="E44" s="226">
        <v>39596.0</v>
      </c>
      <c r="F44" s="226">
        <v>2526.0</v>
      </c>
      <c r="O44" s="411"/>
      <c r="P44" s="411"/>
      <c r="Q44" s="411"/>
      <c r="R44" s="411"/>
      <c r="S44" s="411"/>
      <c r="T44" s="411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</row>
    <row r="45" ht="14.25" customHeight="1">
      <c r="C45" s="226" t="s">
        <v>52</v>
      </c>
      <c r="D45" s="386">
        <v>0.0576202118989405</v>
      </c>
      <c r="E45" s="226">
        <v>12270.0</v>
      </c>
      <c r="F45" s="226">
        <v>707.0</v>
      </c>
      <c r="O45" s="494"/>
      <c r="P45" s="411"/>
      <c r="Q45" s="411"/>
      <c r="R45" s="411"/>
      <c r="S45" s="411"/>
      <c r="T45" s="411"/>
      <c r="U45" s="411"/>
      <c r="V45" s="411"/>
      <c r="W45" s="411"/>
      <c r="X45" s="411"/>
      <c r="Y45" s="411"/>
      <c r="Z45" s="411"/>
      <c r="AA45" s="411"/>
      <c r="AB45" s="411"/>
      <c r="AC45" s="411"/>
      <c r="AD45" s="411"/>
      <c r="AE45" s="411"/>
      <c r="AF45" s="411"/>
      <c r="AG45" s="411"/>
    </row>
    <row r="46" ht="14.25" customHeight="1">
      <c r="C46" s="226" t="s">
        <v>39</v>
      </c>
      <c r="D46" s="386">
        <v>0.10024348099277411</v>
      </c>
      <c r="E46" s="226">
        <v>127320.0</v>
      </c>
      <c r="F46" s="226">
        <v>12763.0</v>
      </c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</row>
    <row r="47" ht="14.25" customHeight="1"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</row>
    <row r="48" ht="14.25" customHeight="1">
      <c r="A48" s="1" t="s">
        <v>463</v>
      </c>
      <c r="O48" s="411"/>
      <c r="P48" s="411"/>
      <c r="Q48" s="411"/>
      <c r="R48" s="411"/>
      <c r="S48" s="411"/>
      <c r="T48" s="411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1"/>
    </row>
    <row r="49" ht="14.25" customHeight="1">
      <c r="O49" s="411"/>
      <c r="P49" s="411"/>
      <c r="Q49" s="411"/>
      <c r="R49" s="411"/>
      <c r="S49" s="411"/>
      <c r="T49" s="411"/>
      <c r="U49" s="411"/>
      <c r="V49" s="411"/>
      <c r="W49" s="411"/>
      <c r="X49" s="411"/>
      <c r="Y49" s="411"/>
      <c r="Z49" s="411"/>
      <c r="AA49" s="411"/>
      <c r="AB49" s="411"/>
      <c r="AC49" s="411"/>
      <c r="AD49" s="411"/>
      <c r="AE49" s="411"/>
      <c r="AF49" s="411"/>
      <c r="AG49" s="411"/>
    </row>
    <row r="50" ht="44.25" customHeight="1">
      <c r="C50" s="495" t="s">
        <v>464</v>
      </c>
      <c r="D50" s="496" t="s">
        <v>272</v>
      </c>
      <c r="E50" s="496" t="s">
        <v>465</v>
      </c>
      <c r="F50" s="496" t="s">
        <v>466</v>
      </c>
      <c r="G50" s="496" t="s">
        <v>467</v>
      </c>
      <c r="H50" s="496" t="s">
        <v>468</v>
      </c>
      <c r="I50" s="496" t="s">
        <v>469</v>
      </c>
      <c r="J50" s="496" t="s">
        <v>470</v>
      </c>
      <c r="K50" s="496" t="s">
        <v>68</v>
      </c>
      <c r="L50" s="496" t="s">
        <v>471</v>
      </c>
      <c r="M50" s="497" t="s">
        <v>472</v>
      </c>
      <c r="N50" s="497" t="s">
        <v>473</v>
      </c>
      <c r="O50" s="497" t="s">
        <v>474</v>
      </c>
      <c r="P50" s="497" t="s">
        <v>475</v>
      </c>
      <c r="Q50" s="497" t="s">
        <v>476</v>
      </c>
      <c r="R50" s="496" t="s">
        <v>477</v>
      </c>
      <c r="S50" s="498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1"/>
    </row>
    <row r="51" ht="14.25" customHeight="1">
      <c r="C51" s="226"/>
      <c r="D51" s="226"/>
      <c r="E51" s="226"/>
      <c r="F51" s="499" t="s">
        <v>478</v>
      </c>
      <c r="G51" s="500"/>
      <c r="H51" s="501"/>
      <c r="I51" s="499" t="s">
        <v>479</v>
      </c>
      <c r="J51" s="499" t="s">
        <v>480</v>
      </c>
      <c r="K51" s="499"/>
      <c r="L51" s="499" t="s">
        <v>481</v>
      </c>
      <c r="M51" s="499"/>
      <c r="N51" s="499" t="s">
        <v>482</v>
      </c>
      <c r="O51" s="226"/>
      <c r="P51" s="388"/>
      <c r="Q51" s="226"/>
      <c r="R51" s="388"/>
      <c r="S51" s="411"/>
      <c r="T51" s="411"/>
      <c r="V51" s="411"/>
      <c r="W51" s="411"/>
      <c r="X51" s="411"/>
      <c r="Y51" s="411"/>
      <c r="Z51" s="411"/>
      <c r="AA51" s="411"/>
      <c r="AB51" s="411"/>
      <c r="AC51" s="411"/>
      <c r="AD51" s="411"/>
      <c r="AE51" s="411"/>
      <c r="AF51" s="411"/>
      <c r="AG51" s="411"/>
    </row>
    <row r="52" ht="14.25" customHeight="1">
      <c r="C52" s="226" t="s">
        <v>483</v>
      </c>
      <c r="D52" s="226">
        <v>5281.0</v>
      </c>
      <c r="E52" s="226">
        <v>1099.0</v>
      </c>
      <c r="F52" s="502">
        <f t="shared" ref="F52:F61" si="8">E52/D52</f>
        <v>0.2081045257</v>
      </c>
      <c r="G52" s="226">
        <v>4043.0</v>
      </c>
      <c r="H52" s="185">
        <v>577.0</v>
      </c>
      <c r="I52" s="388"/>
      <c r="J52" s="502">
        <f t="shared" ref="J52:J61" si="9">H52/E52</f>
        <v>0.525022748</v>
      </c>
      <c r="K52" s="226">
        <v>483.0</v>
      </c>
      <c r="L52" s="431">
        <f t="shared" ref="L52:L61" si="10">K52/H52</f>
        <v>0.8370883882</v>
      </c>
      <c r="M52" s="226">
        <v>161.0</v>
      </c>
      <c r="N52" s="386">
        <f t="shared" ref="N52:N61" si="11">M52/H52</f>
        <v>0.2790294627</v>
      </c>
      <c r="O52" s="226">
        <v>307.0</v>
      </c>
      <c r="P52" s="388"/>
      <c r="Q52" s="226">
        <v>109.0</v>
      </c>
      <c r="R52" s="388"/>
      <c r="S52" s="411"/>
      <c r="T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</row>
    <row r="53" ht="14.25" customHeight="1">
      <c r="C53" s="226" t="s">
        <v>151</v>
      </c>
      <c r="D53" s="226">
        <v>23707.0</v>
      </c>
      <c r="E53" s="226">
        <v>12473.0</v>
      </c>
      <c r="F53" s="502">
        <f t="shared" si="8"/>
        <v>0.5261315223</v>
      </c>
      <c r="G53" s="185">
        <v>15722.0</v>
      </c>
      <c r="H53" s="185">
        <v>8404.0</v>
      </c>
      <c r="I53" s="388"/>
      <c r="J53" s="502">
        <f t="shared" si="9"/>
        <v>0.6737753548</v>
      </c>
      <c r="K53" s="226">
        <v>7549.0</v>
      </c>
      <c r="L53" s="431">
        <f t="shared" si="10"/>
        <v>0.898262732</v>
      </c>
      <c r="M53" s="226">
        <v>6131.0</v>
      </c>
      <c r="N53" s="386">
        <f t="shared" si="11"/>
        <v>0.7295335554</v>
      </c>
      <c r="O53" s="226">
        <v>1257.0</v>
      </c>
      <c r="P53" s="388"/>
      <c r="Q53" s="226">
        <v>1016.0</v>
      </c>
      <c r="R53" s="388"/>
      <c r="S53" s="411"/>
      <c r="T53" s="411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</row>
    <row r="54" ht="14.25" customHeight="1">
      <c r="C54" s="226" t="s">
        <v>152</v>
      </c>
      <c r="D54" s="226">
        <v>352944.0</v>
      </c>
      <c r="E54" s="226">
        <v>69647.0</v>
      </c>
      <c r="F54" s="502">
        <f t="shared" si="8"/>
        <v>0.197331588</v>
      </c>
      <c r="G54" s="185">
        <v>217563.0</v>
      </c>
      <c r="H54" s="185">
        <v>52764.0</v>
      </c>
      <c r="I54" s="388"/>
      <c r="J54" s="502">
        <f t="shared" si="9"/>
        <v>0.7575918561</v>
      </c>
      <c r="K54" s="226">
        <v>49774.0</v>
      </c>
      <c r="L54" s="431">
        <f t="shared" si="10"/>
        <v>0.9433325752</v>
      </c>
      <c r="M54" s="226">
        <v>38399.0</v>
      </c>
      <c r="N54" s="386">
        <f t="shared" si="11"/>
        <v>0.727749981</v>
      </c>
      <c r="O54" s="226">
        <v>4029.0</v>
      </c>
      <c r="P54" s="388"/>
      <c r="Q54" s="226">
        <v>10336.0</v>
      </c>
      <c r="R54" s="388"/>
      <c r="S54" s="411"/>
      <c r="T54" s="411"/>
      <c r="V54" s="411"/>
      <c r="W54" s="411"/>
      <c r="X54" s="411"/>
      <c r="Y54" s="411"/>
      <c r="Z54" s="411"/>
      <c r="AA54" s="411"/>
      <c r="AB54" s="411"/>
      <c r="AC54" s="411"/>
      <c r="AD54" s="411"/>
      <c r="AE54" s="411"/>
      <c r="AF54" s="411"/>
      <c r="AG54" s="411"/>
    </row>
    <row r="55" ht="14.25" customHeight="1">
      <c r="C55" s="226" t="s">
        <v>156</v>
      </c>
      <c r="D55" s="226">
        <v>9345.0</v>
      </c>
      <c r="E55" s="226">
        <v>2275.0</v>
      </c>
      <c r="F55" s="502">
        <f t="shared" si="8"/>
        <v>0.2434456929</v>
      </c>
      <c r="G55" s="185">
        <v>4615.0</v>
      </c>
      <c r="H55" s="35">
        <v>1622.0</v>
      </c>
      <c r="I55" s="388"/>
      <c r="J55" s="502">
        <f t="shared" si="9"/>
        <v>0.712967033</v>
      </c>
      <c r="K55" s="226">
        <v>0.0</v>
      </c>
      <c r="L55" s="431">
        <f t="shared" si="10"/>
        <v>0</v>
      </c>
      <c r="M55" s="226">
        <v>137.0</v>
      </c>
      <c r="N55" s="386">
        <f t="shared" si="11"/>
        <v>0.08446362515</v>
      </c>
      <c r="O55" s="226">
        <v>1470.0</v>
      </c>
      <c r="P55" s="388"/>
      <c r="Q55" s="226">
        <v>15.0</v>
      </c>
      <c r="R55" s="388"/>
      <c r="S55" s="411"/>
      <c r="T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</row>
    <row r="56" ht="14.25" customHeight="1">
      <c r="C56" s="226" t="s">
        <v>484</v>
      </c>
      <c r="D56" s="226">
        <v>4489.0</v>
      </c>
      <c r="E56" s="226">
        <v>1567.0</v>
      </c>
      <c r="F56" s="502">
        <f t="shared" si="8"/>
        <v>0.3490755179</v>
      </c>
      <c r="G56" s="185">
        <v>2745.0</v>
      </c>
      <c r="H56" s="35">
        <v>1278.0</v>
      </c>
      <c r="I56" s="388"/>
      <c r="J56" s="502">
        <f t="shared" si="9"/>
        <v>0.8155711551</v>
      </c>
      <c r="K56" s="226">
        <v>1054.0</v>
      </c>
      <c r="L56" s="431">
        <f t="shared" si="10"/>
        <v>0.8247261346</v>
      </c>
      <c r="M56" s="226">
        <v>983.0</v>
      </c>
      <c r="N56" s="386">
        <f t="shared" si="11"/>
        <v>0.769170579</v>
      </c>
      <c r="O56" s="226">
        <v>8.0</v>
      </c>
      <c r="P56" s="388"/>
      <c r="Q56" s="226">
        <v>287.0</v>
      </c>
      <c r="R56" s="388"/>
      <c r="S56" s="411"/>
      <c r="T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</row>
    <row r="57" ht="14.25" customHeight="1">
      <c r="C57" s="226" t="s">
        <v>166</v>
      </c>
      <c r="D57" s="226">
        <v>210418.0</v>
      </c>
      <c r="E57" s="226">
        <v>81447.0</v>
      </c>
      <c r="F57" s="502">
        <f t="shared" si="8"/>
        <v>0.3870723987</v>
      </c>
      <c r="G57" s="185">
        <v>116000.0</v>
      </c>
      <c r="H57" s="35">
        <v>62875.0</v>
      </c>
      <c r="I57" s="388"/>
      <c r="J57" s="502">
        <f t="shared" si="9"/>
        <v>0.7719744128</v>
      </c>
      <c r="K57" s="226">
        <v>60180.0</v>
      </c>
      <c r="L57" s="431">
        <f t="shared" si="10"/>
        <v>0.9571371769</v>
      </c>
      <c r="M57" s="226">
        <v>56656.0</v>
      </c>
      <c r="N57" s="386">
        <f t="shared" si="11"/>
        <v>0.9010894632</v>
      </c>
      <c r="O57" s="226">
        <v>4647.0</v>
      </c>
      <c r="P57" s="388"/>
      <c r="Q57" s="226">
        <v>1572.0</v>
      </c>
      <c r="R57" s="388"/>
      <c r="S57" s="411"/>
      <c r="T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</row>
    <row r="58" ht="14.25" customHeight="1">
      <c r="C58" s="226" t="s">
        <v>174</v>
      </c>
      <c r="D58" s="226">
        <v>55160.0</v>
      </c>
      <c r="E58" s="226">
        <v>26932.0</v>
      </c>
      <c r="F58" s="502">
        <f t="shared" si="8"/>
        <v>0.4882523568</v>
      </c>
      <c r="G58" s="185">
        <v>22549.0</v>
      </c>
      <c r="H58" s="35">
        <v>15532.0</v>
      </c>
      <c r="I58" s="388"/>
      <c r="J58" s="502">
        <f t="shared" si="9"/>
        <v>0.5767117184</v>
      </c>
      <c r="K58" s="226">
        <v>14750.0</v>
      </c>
      <c r="L58" s="431">
        <f t="shared" si="10"/>
        <v>0.9496523307</v>
      </c>
      <c r="M58" s="226">
        <v>6618.0</v>
      </c>
      <c r="N58" s="386">
        <f t="shared" si="11"/>
        <v>0.4260880762</v>
      </c>
      <c r="O58" s="226">
        <v>65.0</v>
      </c>
      <c r="P58" s="388"/>
      <c r="Q58" s="226">
        <v>8849.0</v>
      </c>
      <c r="R58" s="388"/>
      <c r="S58" s="411"/>
      <c r="T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1"/>
    </row>
    <row r="59" ht="14.25" customHeight="1">
      <c r="C59" s="226" t="s">
        <v>175</v>
      </c>
      <c r="D59" s="226">
        <v>23366.0</v>
      </c>
      <c r="E59" s="226">
        <v>14051.0</v>
      </c>
      <c r="F59" s="502">
        <f t="shared" si="8"/>
        <v>0.6013438329</v>
      </c>
      <c r="G59" s="185">
        <v>13357.0</v>
      </c>
      <c r="H59" s="35">
        <v>4922.0</v>
      </c>
      <c r="I59" s="388"/>
      <c r="J59" s="502">
        <f t="shared" si="9"/>
        <v>0.3502953526</v>
      </c>
      <c r="K59" s="226">
        <v>3863.0</v>
      </c>
      <c r="L59" s="431">
        <f t="shared" si="10"/>
        <v>0.7848435595</v>
      </c>
      <c r="M59" s="226">
        <v>1725.0</v>
      </c>
      <c r="N59" s="386">
        <f t="shared" si="11"/>
        <v>0.3504672897</v>
      </c>
      <c r="O59" s="226">
        <v>7.0</v>
      </c>
      <c r="P59" s="388"/>
      <c r="Q59" s="226">
        <v>3190.0</v>
      </c>
      <c r="R59" s="388"/>
      <c r="S59" s="411"/>
      <c r="T59" s="411"/>
      <c r="V59" s="411"/>
      <c r="W59" s="411"/>
      <c r="X59" s="411"/>
      <c r="Y59" s="411"/>
      <c r="Z59" s="411"/>
      <c r="AA59" s="411"/>
      <c r="AB59" s="411"/>
      <c r="AC59" s="411"/>
      <c r="AD59" s="411"/>
      <c r="AE59" s="411"/>
      <c r="AF59" s="411"/>
      <c r="AG59" s="411"/>
    </row>
    <row r="60" ht="14.25" customHeight="1">
      <c r="C60" s="226" t="s">
        <v>181</v>
      </c>
      <c r="D60" s="226">
        <v>13613.0</v>
      </c>
      <c r="E60" s="226">
        <v>5268.0</v>
      </c>
      <c r="F60" s="502">
        <f t="shared" si="8"/>
        <v>0.3869830309</v>
      </c>
      <c r="G60" s="185">
        <v>9504.0</v>
      </c>
      <c r="H60" s="35">
        <v>3550.0</v>
      </c>
      <c r="I60" s="388"/>
      <c r="J60" s="502">
        <f t="shared" si="9"/>
        <v>0.6738800304</v>
      </c>
      <c r="K60" s="226">
        <v>3241.0</v>
      </c>
      <c r="L60" s="431">
        <f t="shared" si="10"/>
        <v>0.9129577465</v>
      </c>
      <c r="M60" s="226">
        <v>980.0</v>
      </c>
      <c r="N60" s="386">
        <f t="shared" si="11"/>
        <v>0.276056338</v>
      </c>
      <c r="O60" s="226">
        <v>2544.0</v>
      </c>
      <c r="P60" s="388"/>
      <c r="Q60" s="226">
        <v>26.0</v>
      </c>
      <c r="R60" s="388"/>
      <c r="S60" s="411"/>
      <c r="T60" s="411"/>
      <c r="V60" s="411"/>
      <c r="W60" s="411"/>
      <c r="X60" s="411"/>
      <c r="Y60" s="411"/>
      <c r="Z60" s="411"/>
      <c r="AA60" s="411"/>
      <c r="AB60" s="411"/>
      <c r="AC60" s="411"/>
      <c r="AD60" s="411"/>
      <c r="AE60" s="411"/>
      <c r="AF60" s="411"/>
      <c r="AG60" s="411"/>
    </row>
    <row r="61" ht="14.25" customHeight="1">
      <c r="C61" s="226" t="s">
        <v>184</v>
      </c>
      <c r="D61" s="226">
        <v>36433.0</v>
      </c>
      <c r="E61" s="226">
        <v>9772.0</v>
      </c>
      <c r="F61" s="502">
        <f t="shared" si="8"/>
        <v>0.2682183735</v>
      </c>
      <c r="G61" s="185">
        <v>27559.0</v>
      </c>
      <c r="H61" s="35">
        <v>5241.0</v>
      </c>
      <c r="I61" s="388"/>
      <c r="J61" s="502">
        <f t="shared" si="9"/>
        <v>0.5363282849</v>
      </c>
      <c r="K61" s="226">
        <v>5026.0</v>
      </c>
      <c r="L61" s="431">
        <f t="shared" si="10"/>
        <v>0.9589772944</v>
      </c>
      <c r="M61" s="226">
        <v>4370.0</v>
      </c>
      <c r="N61" s="386">
        <f t="shared" si="11"/>
        <v>0.8338103415</v>
      </c>
      <c r="O61" s="226">
        <v>854.0</v>
      </c>
      <c r="P61" s="388"/>
      <c r="Q61" s="226">
        <v>17.0</v>
      </c>
      <c r="R61" s="388"/>
      <c r="S61" s="411"/>
      <c r="T61" s="411"/>
      <c r="V61" s="411"/>
      <c r="W61" s="411"/>
      <c r="X61" s="411"/>
      <c r="Y61" s="411"/>
      <c r="Z61" s="411"/>
      <c r="AA61" s="411"/>
      <c r="AB61" s="411"/>
      <c r="AC61" s="411"/>
      <c r="AD61" s="411"/>
      <c r="AE61" s="411"/>
      <c r="AF61" s="411"/>
      <c r="AG61" s="411"/>
    </row>
    <row r="62" ht="14.25" customHeight="1"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411"/>
      <c r="Z62" s="411"/>
      <c r="AA62" s="411"/>
      <c r="AB62" s="411"/>
      <c r="AC62" s="411"/>
      <c r="AD62" s="411"/>
      <c r="AE62" s="411"/>
      <c r="AF62" s="411"/>
      <c r="AG62" s="411"/>
    </row>
    <row r="63" ht="14.25" customHeight="1">
      <c r="O63" s="411"/>
      <c r="P63" s="411"/>
      <c r="Q63" s="411"/>
      <c r="R63" s="411"/>
      <c r="S63" s="411"/>
      <c r="T63" s="411"/>
      <c r="U63" s="411"/>
      <c r="V63" s="411"/>
      <c r="W63" s="411"/>
      <c r="X63" s="411"/>
      <c r="Y63" s="411"/>
      <c r="Z63" s="411"/>
      <c r="AA63" s="411"/>
      <c r="AB63" s="411"/>
      <c r="AC63" s="411"/>
      <c r="AD63" s="411"/>
      <c r="AE63" s="411"/>
      <c r="AF63" s="411"/>
      <c r="AG63" s="411"/>
    </row>
    <row r="64" ht="14.25" customHeight="1"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411"/>
      <c r="AC64" s="411"/>
      <c r="AD64" s="411"/>
      <c r="AE64" s="411"/>
      <c r="AF64" s="411"/>
      <c r="AG64" s="411"/>
    </row>
    <row r="65" ht="14.25" customHeight="1"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411"/>
      <c r="AC65" s="411"/>
      <c r="AD65" s="411"/>
      <c r="AE65" s="411"/>
      <c r="AF65" s="411"/>
      <c r="AG65" s="411"/>
    </row>
    <row r="66" ht="14.25" customHeight="1">
      <c r="O66" s="411"/>
      <c r="P66" s="411"/>
      <c r="Q66" s="411"/>
      <c r="R66" s="411"/>
      <c r="S66" s="411"/>
      <c r="T66" s="411"/>
      <c r="U66" s="411"/>
      <c r="V66" s="411"/>
      <c r="W66" s="411"/>
      <c r="X66" s="411"/>
      <c r="Y66" s="411"/>
      <c r="Z66" s="411"/>
      <c r="AA66" s="411"/>
      <c r="AB66" s="411"/>
      <c r="AC66" s="411"/>
      <c r="AD66" s="411"/>
      <c r="AE66" s="411"/>
      <c r="AF66" s="411"/>
      <c r="AG66" s="411"/>
    </row>
    <row r="67" ht="14.25" customHeight="1">
      <c r="O67" s="411"/>
      <c r="P67" s="411"/>
      <c r="Q67" s="411"/>
      <c r="R67" s="411"/>
      <c r="S67" s="411"/>
      <c r="T67" s="411"/>
      <c r="U67" s="411"/>
      <c r="V67" s="411"/>
      <c r="W67" s="411"/>
      <c r="X67" s="411"/>
      <c r="Y67" s="411"/>
      <c r="Z67" s="411"/>
      <c r="AA67" s="411"/>
      <c r="AB67" s="411"/>
      <c r="AC67" s="411"/>
      <c r="AD67" s="411"/>
      <c r="AE67" s="411"/>
      <c r="AF67" s="411"/>
      <c r="AG67" s="411"/>
    </row>
    <row r="68" ht="14.25" customHeight="1">
      <c r="O68" s="411"/>
      <c r="P68" s="411"/>
      <c r="Q68" s="411"/>
      <c r="R68" s="411"/>
      <c r="S68" s="411"/>
      <c r="T68" s="411"/>
      <c r="U68" s="411"/>
      <c r="V68" s="411"/>
      <c r="W68" s="411"/>
      <c r="X68" s="411"/>
      <c r="Y68" s="411"/>
      <c r="Z68" s="411"/>
      <c r="AA68" s="411"/>
      <c r="AB68" s="411"/>
      <c r="AC68" s="411"/>
      <c r="AD68" s="411"/>
      <c r="AE68" s="411"/>
      <c r="AF68" s="411"/>
      <c r="AG68" s="411"/>
    </row>
    <row r="69" ht="14.25" customHeight="1">
      <c r="O69" s="411"/>
      <c r="P69" s="411"/>
      <c r="Q69" s="411"/>
      <c r="R69" s="411"/>
      <c r="S69" s="411"/>
      <c r="T69" s="411"/>
      <c r="U69" s="411"/>
      <c r="V69" s="411"/>
      <c r="W69" s="411"/>
      <c r="X69" s="411"/>
      <c r="Y69" s="411"/>
      <c r="Z69" s="411"/>
      <c r="AA69" s="411"/>
      <c r="AB69" s="411"/>
      <c r="AC69" s="411"/>
      <c r="AD69" s="411"/>
      <c r="AE69" s="411"/>
      <c r="AF69" s="411"/>
      <c r="AG69" s="411"/>
    </row>
    <row r="70" ht="14.25" customHeight="1">
      <c r="O70" s="411"/>
      <c r="P70" s="411"/>
      <c r="Q70" s="411"/>
      <c r="R70" s="411"/>
      <c r="S70" s="411"/>
      <c r="T70" s="411"/>
      <c r="U70" s="411"/>
      <c r="V70" s="411"/>
      <c r="W70" s="411"/>
      <c r="X70" s="411"/>
      <c r="Y70" s="411"/>
      <c r="Z70" s="411"/>
      <c r="AA70" s="411"/>
      <c r="AB70" s="411"/>
      <c r="AC70" s="411"/>
      <c r="AD70" s="411"/>
      <c r="AE70" s="411"/>
      <c r="AF70" s="411"/>
      <c r="AG70" s="411"/>
    </row>
    <row r="71" ht="14.25" customHeight="1">
      <c r="O71" s="411"/>
      <c r="P71" s="411"/>
      <c r="Q71" s="411"/>
      <c r="R71" s="411"/>
      <c r="S71" s="411"/>
      <c r="T71" s="411"/>
      <c r="U71" s="411"/>
      <c r="V71" s="411"/>
      <c r="W71" s="411"/>
      <c r="X71" s="411"/>
      <c r="Y71" s="411"/>
      <c r="Z71" s="411"/>
      <c r="AA71" s="411"/>
      <c r="AB71" s="411"/>
      <c r="AC71" s="411"/>
      <c r="AD71" s="411"/>
      <c r="AE71" s="411"/>
      <c r="AF71" s="411"/>
      <c r="AG71" s="411"/>
    </row>
    <row r="72" ht="14.25" customHeight="1">
      <c r="O72" s="411"/>
      <c r="P72" s="411"/>
      <c r="Q72" s="411"/>
      <c r="R72" s="411"/>
      <c r="S72" s="411"/>
      <c r="T72" s="411"/>
      <c r="U72" s="411"/>
      <c r="V72" s="411"/>
      <c r="W72" s="411"/>
      <c r="X72" s="411"/>
      <c r="Y72" s="411"/>
      <c r="Z72" s="411"/>
      <c r="AA72" s="411"/>
      <c r="AB72" s="411"/>
      <c r="AC72" s="411"/>
      <c r="AD72" s="411"/>
      <c r="AE72" s="411"/>
      <c r="AF72" s="411"/>
      <c r="AG72" s="411"/>
    </row>
    <row r="73" ht="14.25" customHeight="1">
      <c r="O73" s="411"/>
      <c r="P73" s="411"/>
      <c r="Q73" s="411"/>
      <c r="R73" s="411"/>
      <c r="S73" s="411"/>
      <c r="T73" s="411"/>
      <c r="U73" s="411"/>
      <c r="V73" s="411"/>
      <c r="W73" s="411"/>
      <c r="X73" s="411"/>
      <c r="Y73" s="411"/>
      <c r="Z73" s="411"/>
      <c r="AA73" s="411"/>
      <c r="AB73" s="411"/>
      <c r="AC73" s="411"/>
      <c r="AD73" s="411"/>
      <c r="AE73" s="411"/>
      <c r="AF73" s="411"/>
      <c r="AG73" s="411"/>
    </row>
    <row r="74" ht="14.25" customHeight="1">
      <c r="O74" s="411"/>
      <c r="P74" s="411"/>
      <c r="Q74" s="411"/>
      <c r="R74" s="411"/>
      <c r="S74" s="411"/>
      <c r="T74" s="411"/>
      <c r="U74" s="411"/>
      <c r="V74" s="411"/>
      <c r="W74" s="411"/>
      <c r="X74" s="411"/>
      <c r="Y74" s="411"/>
      <c r="Z74" s="411"/>
      <c r="AA74" s="411"/>
      <c r="AB74" s="411"/>
      <c r="AC74" s="411"/>
      <c r="AD74" s="411"/>
      <c r="AE74" s="411"/>
      <c r="AF74" s="411"/>
      <c r="AG74" s="411"/>
    </row>
    <row r="75" ht="14.25" customHeight="1">
      <c r="O75" s="411"/>
      <c r="P75" s="411"/>
      <c r="Q75" s="411"/>
      <c r="R75" s="411"/>
      <c r="S75" s="411"/>
      <c r="T75" s="411"/>
      <c r="U75" s="411"/>
      <c r="V75" s="411"/>
      <c r="W75" s="411"/>
      <c r="X75" s="411"/>
      <c r="Y75" s="411"/>
      <c r="Z75" s="411"/>
      <c r="AA75" s="411"/>
      <c r="AB75" s="411"/>
      <c r="AC75" s="411"/>
      <c r="AD75" s="411"/>
      <c r="AE75" s="411"/>
      <c r="AF75" s="411"/>
      <c r="AG75" s="411"/>
    </row>
    <row r="76" ht="14.25" customHeight="1">
      <c r="O76" s="411"/>
      <c r="P76" s="411"/>
      <c r="Q76" s="411"/>
      <c r="R76" s="411"/>
      <c r="S76" s="411"/>
      <c r="T76" s="411"/>
      <c r="U76" s="411"/>
      <c r="V76" s="411"/>
      <c r="W76" s="411"/>
      <c r="X76" s="411"/>
      <c r="Y76" s="411"/>
      <c r="Z76" s="411"/>
      <c r="AA76" s="411"/>
      <c r="AB76" s="411"/>
      <c r="AC76" s="411"/>
      <c r="AD76" s="411"/>
      <c r="AE76" s="411"/>
      <c r="AF76" s="411"/>
      <c r="AG76" s="411"/>
    </row>
    <row r="77" ht="14.25" customHeight="1">
      <c r="O77" s="411"/>
      <c r="P77" s="411"/>
      <c r="Q77" s="411"/>
      <c r="R77" s="411"/>
      <c r="S77" s="411"/>
      <c r="T77" s="411"/>
      <c r="U77" s="411"/>
      <c r="V77" s="411"/>
      <c r="W77" s="411"/>
      <c r="X77" s="411"/>
      <c r="Y77" s="411"/>
      <c r="Z77" s="411"/>
      <c r="AA77" s="411"/>
      <c r="AB77" s="411"/>
      <c r="AC77" s="411"/>
      <c r="AD77" s="411"/>
      <c r="AE77" s="411"/>
      <c r="AF77" s="411"/>
      <c r="AG77" s="411"/>
    </row>
    <row r="78" ht="14.25" customHeight="1">
      <c r="O78" s="411"/>
      <c r="P78" s="411"/>
      <c r="Q78" s="411"/>
      <c r="R78" s="411"/>
      <c r="S78" s="411"/>
      <c r="T78" s="411"/>
      <c r="U78" s="411"/>
      <c r="V78" s="411"/>
      <c r="W78" s="411"/>
      <c r="X78" s="411"/>
      <c r="Y78" s="411"/>
      <c r="Z78" s="411"/>
      <c r="AA78" s="411"/>
      <c r="AB78" s="411"/>
      <c r="AC78" s="411"/>
      <c r="AD78" s="411"/>
      <c r="AE78" s="411"/>
      <c r="AF78" s="411"/>
      <c r="AG78" s="411"/>
    </row>
    <row r="79" ht="14.25" customHeight="1">
      <c r="O79" s="411"/>
      <c r="P79" s="411"/>
      <c r="Q79" s="411"/>
      <c r="R79" s="411"/>
      <c r="S79" s="411"/>
      <c r="T79" s="411"/>
      <c r="U79" s="411"/>
      <c r="V79" s="411"/>
      <c r="W79" s="411"/>
      <c r="X79" s="411"/>
      <c r="Y79" s="411"/>
      <c r="Z79" s="411"/>
      <c r="AA79" s="411"/>
      <c r="AB79" s="411"/>
      <c r="AC79" s="411"/>
      <c r="AD79" s="411"/>
      <c r="AE79" s="411"/>
      <c r="AF79" s="411"/>
      <c r="AG79" s="411"/>
    </row>
    <row r="80" ht="14.25" customHeight="1">
      <c r="O80" s="411"/>
      <c r="P80" s="411"/>
      <c r="Q80" s="411"/>
      <c r="R80" s="411"/>
      <c r="S80" s="411"/>
      <c r="T80" s="411"/>
      <c r="U80" s="411"/>
      <c r="V80" s="411"/>
      <c r="W80" s="411"/>
      <c r="X80" s="411"/>
      <c r="Y80" s="411"/>
      <c r="Z80" s="411"/>
      <c r="AA80" s="411"/>
      <c r="AB80" s="411"/>
      <c r="AC80" s="411"/>
      <c r="AD80" s="411"/>
      <c r="AE80" s="411"/>
      <c r="AF80" s="411"/>
      <c r="AG80" s="411"/>
    </row>
    <row r="81" ht="14.25" customHeight="1">
      <c r="O81" s="411"/>
      <c r="P81" s="411"/>
      <c r="Q81" s="411"/>
      <c r="R81" s="411"/>
      <c r="S81" s="411"/>
      <c r="T81" s="411"/>
      <c r="U81" s="411"/>
      <c r="V81" s="411"/>
      <c r="W81" s="411"/>
      <c r="X81" s="411"/>
      <c r="Y81" s="411"/>
      <c r="Z81" s="411"/>
      <c r="AA81" s="411"/>
      <c r="AB81" s="411"/>
      <c r="AC81" s="411"/>
      <c r="AD81" s="411"/>
      <c r="AE81" s="411"/>
      <c r="AF81" s="411"/>
      <c r="AG81" s="411"/>
    </row>
    <row r="82" ht="14.25" customHeight="1">
      <c r="O82" s="411"/>
      <c r="P82" s="411"/>
      <c r="Q82" s="411"/>
      <c r="R82" s="411"/>
      <c r="S82" s="411"/>
      <c r="T82" s="411"/>
      <c r="U82" s="411"/>
      <c r="V82" s="411"/>
      <c r="W82" s="411"/>
      <c r="X82" s="411"/>
      <c r="Y82" s="411"/>
      <c r="Z82" s="411"/>
      <c r="AA82" s="411"/>
      <c r="AB82" s="411"/>
      <c r="AC82" s="411"/>
      <c r="AD82" s="411"/>
      <c r="AE82" s="411"/>
      <c r="AF82" s="411"/>
      <c r="AG82" s="411"/>
    </row>
    <row r="83" ht="14.25" customHeight="1">
      <c r="O83" s="411"/>
      <c r="P83" s="411"/>
      <c r="Q83" s="411"/>
      <c r="R83" s="411"/>
      <c r="S83" s="411"/>
      <c r="T83" s="411"/>
      <c r="U83" s="411"/>
      <c r="V83" s="411"/>
      <c r="W83" s="411"/>
      <c r="X83" s="411"/>
      <c r="Y83" s="411"/>
      <c r="Z83" s="411"/>
      <c r="AA83" s="411"/>
      <c r="AB83" s="411"/>
      <c r="AC83" s="411"/>
      <c r="AD83" s="411"/>
      <c r="AE83" s="411"/>
      <c r="AF83" s="411"/>
      <c r="AG83" s="411"/>
    </row>
    <row r="84" ht="14.25" customHeight="1">
      <c r="O84" s="411"/>
      <c r="P84" s="411"/>
      <c r="Q84" s="411"/>
      <c r="R84" s="411"/>
      <c r="S84" s="411"/>
      <c r="T84" s="411"/>
      <c r="U84" s="411"/>
      <c r="V84" s="411"/>
      <c r="W84" s="411"/>
      <c r="X84" s="411"/>
      <c r="Y84" s="411"/>
      <c r="Z84" s="411"/>
      <c r="AA84" s="411"/>
      <c r="AB84" s="411"/>
      <c r="AC84" s="411"/>
      <c r="AD84" s="411"/>
      <c r="AE84" s="411"/>
      <c r="AF84" s="411"/>
      <c r="AG84" s="411"/>
    </row>
    <row r="85" ht="14.25" customHeight="1">
      <c r="O85" s="411"/>
      <c r="P85" s="411"/>
      <c r="Q85" s="411"/>
      <c r="R85" s="411"/>
      <c r="S85" s="411"/>
      <c r="T85" s="411"/>
      <c r="U85" s="411"/>
      <c r="V85" s="411"/>
      <c r="W85" s="411"/>
      <c r="X85" s="411"/>
      <c r="Y85" s="411"/>
      <c r="Z85" s="411"/>
      <c r="AA85" s="411"/>
      <c r="AB85" s="411"/>
      <c r="AC85" s="411"/>
      <c r="AD85" s="411"/>
      <c r="AE85" s="411"/>
      <c r="AF85" s="411"/>
      <c r="AG85" s="411"/>
    </row>
    <row r="86" ht="14.25" customHeight="1">
      <c r="O86" s="411"/>
      <c r="P86" s="411"/>
      <c r="Q86" s="411"/>
      <c r="R86" s="411"/>
      <c r="S86" s="411"/>
      <c r="T86" s="411"/>
      <c r="U86" s="411"/>
      <c r="V86" s="411"/>
      <c r="W86" s="411"/>
      <c r="X86" s="411"/>
      <c r="Y86" s="411"/>
      <c r="Z86" s="411"/>
      <c r="AA86" s="411"/>
      <c r="AB86" s="411"/>
      <c r="AC86" s="411"/>
      <c r="AD86" s="411"/>
      <c r="AE86" s="411"/>
      <c r="AF86" s="411"/>
      <c r="AG86" s="411"/>
    </row>
    <row r="87" ht="14.25" customHeight="1">
      <c r="O87" s="411"/>
      <c r="P87" s="411"/>
      <c r="Q87" s="411"/>
      <c r="R87" s="411"/>
      <c r="S87" s="411"/>
      <c r="T87" s="411"/>
      <c r="U87" s="411"/>
      <c r="V87" s="411"/>
      <c r="W87" s="411"/>
      <c r="X87" s="411"/>
      <c r="Y87" s="411"/>
      <c r="Z87" s="411"/>
      <c r="AA87" s="411"/>
      <c r="AB87" s="411"/>
      <c r="AC87" s="411"/>
      <c r="AD87" s="411"/>
      <c r="AE87" s="411"/>
      <c r="AF87" s="411"/>
      <c r="AG87" s="411"/>
    </row>
    <row r="88" ht="14.25" customHeight="1">
      <c r="O88" s="411"/>
      <c r="P88" s="411"/>
      <c r="Q88" s="411"/>
      <c r="R88" s="411"/>
      <c r="S88" s="411"/>
      <c r="T88" s="411"/>
      <c r="U88" s="411"/>
      <c r="V88" s="411"/>
      <c r="W88" s="411"/>
      <c r="X88" s="411"/>
      <c r="Y88" s="411"/>
      <c r="Z88" s="411"/>
      <c r="AA88" s="411"/>
      <c r="AB88" s="411"/>
      <c r="AC88" s="411"/>
      <c r="AD88" s="411"/>
      <c r="AE88" s="411"/>
      <c r="AF88" s="411"/>
      <c r="AG88" s="411"/>
    </row>
    <row r="89" ht="14.25" customHeight="1">
      <c r="O89" s="411"/>
      <c r="P89" s="411"/>
      <c r="Q89" s="411"/>
      <c r="R89" s="411"/>
      <c r="S89" s="411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E89" s="411"/>
      <c r="AF89" s="411"/>
      <c r="AG89" s="411"/>
    </row>
    <row r="90" ht="14.25" customHeight="1">
      <c r="O90" s="411"/>
      <c r="P90" s="411"/>
      <c r="Q90" s="411"/>
      <c r="R90" s="411"/>
      <c r="S90" s="411"/>
      <c r="T90" s="411"/>
      <c r="U90" s="411"/>
      <c r="V90" s="411"/>
      <c r="W90" s="411"/>
      <c r="X90" s="411"/>
      <c r="Y90" s="411"/>
      <c r="Z90" s="411"/>
      <c r="AA90" s="411"/>
      <c r="AB90" s="411"/>
      <c r="AC90" s="411"/>
      <c r="AD90" s="411"/>
      <c r="AE90" s="411"/>
      <c r="AF90" s="411"/>
      <c r="AG90" s="411"/>
    </row>
    <row r="91" ht="14.25" customHeight="1">
      <c r="O91" s="411"/>
      <c r="P91" s="411"/>
      <c r="Q91" s="411"/>
      <c r="R91" s="411"/>
      <c r="S91" s="411"/>
      <c r="T91" s="411"/>
      <c r="U91" s="411"/>
      <c r="V91" s="411"/>
      <c r="W91" s="411"/>
      <c r="X91" s="411"/>
      <c r="Y91" s="411"/>
      <c r="Z91" s="411"/>
      <c r="AA91" s="411"/>
      <c r="AB91" s="411"/>
      <c r="AC91" s="411"/>
      <c r="AD91" s="411"/>
      <c r="AE91" s="411"/>
      <c r="AF91" s="411"/>
      <c r="AG91" s="411"/>
    </row>
    <row r="92" ht="14.25" customHeight="1">
      <c r="O92" s="411"/>
      <c r="P92" s="411"/>
      <c r="Q92" s="411"/>
      <c r="R92" s="411"/>
      <c r="S92" s="411"/>
      <c r="T92" s="411"/>
      <c r="U92" s="411"/>
      <c r="V92" s="411"/>
      <c r="W92" s="411"/>
      <c r="X92" s="411"/>
      <c r="Y92" s="411"/>
      <c r="Z92" s="411"/>
      <c r="AA92" s="411"/>
      <c r="AB92" s="411"/>
      <c r="AC92" s="411"/>
      <c r="AD92" s="411"/>
      <c r="AE92" s="411"/>
      <c r="AF92" s="411"/>
      <c r="AG92" s="411"/>
    </row>
    <row r="93" ht="14.25" customHeight="1">
      <c r="O93" s="411"/>
      <c r="P93" s="411"/>
      <c r="Q93" s="411"/>
      <c r="R93" s="411"/>
      <c r="S93" s="411"/>
      <c r="T93" s="411"/>
      <c r="U93" s="411"/>
      <c r="V93" s="411"/>
      <c r="W93" s="411"/>
      <c r="X93" s="411"/>
      <c r="Y93" s="411"/>
      <c r="Z93" s="411"/>
      <c r="AA93" s="411"/>
      <c r="AB93" s="411"/>
      <c r="AC93" s="411"/>
      <c r="AD93" s="411"/>
      <c r="AE93" s="411"/>
      <c r="AF93" s="411"/>
      <c r="AG93" s="411"/>
    </row>
    <row r="94" ht="14.25" customHeight="1">
      <c r="O94" s="411"/>
      <c r="P94" s="411"/>
      <c r="Q94" s="411"/>
      <c r="R94" s="411"/>
      <c r="S94" s="411"/>
      <c r="T94" s="411"/>
      <c r="U94" s="411"/>
      <c r="V94" s="411"/>
      <c r="W94" s="411"/>
      <c r="X94" s="411"/>
      <c r="Y94" s="411"/>
      <c r="Z94" s="411"/>
      <c r="AA94" s="411"/>
      <c r="AB94" s="411"/>
      <c r="AC94" s="411"/>
      <c r="AD94" s="411"/>
      <c r="AE94" s="411"/>
      <c r="AF94" s="411"/>
      <c r="AG94" s="411"/>
    </row>
    <row r="95" ht="14.25" customHeight="1">
      <c r="O95" s="411"/>
      <c r="P95" s="411"/>
      <c r="Q95" s="411"/>
      <c r="R95" s="411"/>
      <c r="S95" s="411"/>
      <c r="T95" s="411"/>
      <c r="U95" s="411"/>
      <c r="V95" s="411"/>
      <c r="W95" s="411"/>
      <c r="X95" s="411"/>
      <c r="Y95" s="411"/>
      <c r="Z95" s="411"/>
      <c r="AA95" s="411"/>
      <c r="AB95" s="411"/>
      <c r="AC95" s="411"/>
      <c r="AD95" s="411"/>
      <c r="AE95" s="411"/>
      <c r="AF95" s="411"/>
      <c r="AG95" s="411"/>
    </row>
    <row r="96" ht="14.25" customHeight="1">
      <c r="O96" s="411"/>
      <c r="P96" s="411"/>
      <c r="Q96" s="411"/>
      <c r="R96" s="411"/>
      <c r="S96" s="411"/>
      <c r="T96" s="411"/>
      <c r="U96" s="411"/>
      <c r="V96" s="411"/>
      <c r="W96" s="411"/>
      <c r="X96" s="411"/>
      <c r="Y96" s="411"/>
      <c r="Z96" s="411"/>
      <c r="AA96" s="411"/>
      <c r="AB96" s="411"/>
      <c r="AC96" s="411"/>
      <c r="AD96" s="411"/>
      <c r="AE96" s="411"/>
      <c r="AF96" s="411"/>
      <c r="AG96" s="411"/>
    </row>
    <row r="97" ht="14.25" customHeight="1">
      <c r="O97" s="411"/>
      <c r="P97" s="411"/>
      <c r="Q97" s="411"/>
      <c r="R97" s="411"/>
      <c r="S97" s="411"/>
      <c r="T97" s="411"/>
      <c r="U97" s="411"/>
      <c r="V97" s="411"/>
      <c r="W97" s="411"/>
      <c r="X97" s="411"/>
      <c r="Y97" s="411"/>
      <c r="Z97" s="411"/>
      <c r="AA97" s="411"/>
      <c r="AB97" s="411"/>
      <c r="AC97" s="411"/>
      <c r="AD97" s="411"/>
      <c r="AE97" s="411"/>
      <c r="AF97" s="411"/>
      <c r="AG97" s="411"/>
    </row>
    <row r="98" ht="14.25" customHeight="1">
      <c r="O98" s="411"/>
      <c r="P98" s="411"/>
      <c r="Q98" s="411"/>
      <c r="R98" s="411"/>
      <c r="S98" s="411"/>
      <c r="T98" s="411"/>
      <c r="U98" s="411"/>
      <c r="V98" s="411"/>
      <c r="W98" s="411"/>
      <c r="X98" s="411"/>
      <c r="Y98" s="411"/>
      <c r="Z98" s="411"/>
      <c r="AA98" s="411"/>
      <c r="AB98" s="411"/>
      <c r="AC98" s="411"/>
      <c r="AD98" s="411"/>
      <c r="AE98" s="411"/>
      <c r="AF98" s="411"/>
      <c r="AG98" s="411"/>
    </row>
    <row r="99" ht="14.25" customHeight="1">
      <c r="O99" s="411"/>
      <c r="P99" s="411"/>
      <c r="Q99" s="411"/>
      <c r="R99" s="411"/>
      <c r="S99" s="411"/>
      <c r="T99" s="411"/>
      <c r="U99" s="411"/>
      <c r="V99" s="411"/>
      <c r="W99" s="411"/>
      <c r="X99" s="411"/>
      <c r="Y99" s="411"/>
      <c r="Z99" s="411"/>
      <c r="AA99" s="411"/>
      <c r="AB99" s="411"/>
      <c r="AC99" s="411"/>
      <c r="AD99" s="411"/>
      <c r="AE99" s="411"/>
      <c r="AF99" s="411"/>
      <c r="AG99" s="411"/>
    </row>
    <row r="100" ht="14.25" customHeight="1">
      <c r="O100" s="411"/>
      <c r="P100" s="411"/>
      <c r="Q100" s="411"/>
      <c r="R100" s="411"/>
      <c r="S100" s="411"/>
      <c r="T100" s="411"/>
      <c r="U100" s="411"/>
      <c r="V100" s="411"/>
      <c r="W100" s="411"/>
      <c r="X100" s="411"/>
      <c r="Y100" s="411"/>
      <c r="Z100" s="411"/>
      <c r="AA100" s="411"/>
      <c r="AB100" s="411"/>
      <c r="AC100" s="411"/>
      <c r="AD100" s="411"/>
      <c r="AE100" s="411"/>
      <c r="AF100" s="411"/>
      <c r="AG100" s="411"/>
    </row>
    <row r="101" ht="14.25" customHeight="1">
      <c r="O101" s="411"/>
      <c r="P101" s="411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</row>
    <row r="102" ht="14.25" customHeight="1">
      <c r="O102" s="411"/>
      <c r="P102" s="411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</row>
    <row r="103" ht="14.25" customHeight="1">
      <c r="O103" s="411"/>
      <c r="P103" s="411"/>
      <c r="Q103" s="411"/>
      <c r="R103" s="411"/>
      <c r="S103" s="411"/>
      <c r="T103" s="411"/>
      <c r="U103" s="411"/>
      <c r="V103" s="411"/>
      <c r="W103" s="411"/>
      <c r="X103" s="411"/>
      <c r="Y103" s="411"/>
      <c r="Z103" s="411"/>
      <c r="AA103" s="411"/>
      <c r="AB103" s="411"/>
      <c r="AC103" s="411"/>
      <c r="AD103" s="411"/>
      <c r="AE103" s="411"/>
      <c r="AF103" s="411"/>
      <c r="AG103" s="411"/>
    </row>
    <row r="104" ht="14.25" customHeight="1">
      <c r="O104" s="411"/>
      <c r="P104" s="411"/>
      <c r="Q104" s="411"/>
      <c r="R104" s="411"/>
      <c r="S104" s="411"/>
      <c r="T104" s="411"/>
      <c r="U104" s="411"/>
      <c r="V104" s="411"/>
      <c r="W104" s="411"/>
      <c r="X104" s="411"/>
      <c r="Y104" s="411"/>
      <c r="Z104" s="411"/>
      <c r="AA104" s="411"/>
      <c r="AB104" s="411"/>
      <c r="AC104" s="411"/>
      <c r="AD104" s="411"/>
      <c r="AE104" s="411"/>
      <c r="AF104" s="411"/>
      <c r="AG104" s="411"/>
    </row>
    <row r="105" ht="14.25" customHeight="1">
      <c r="O105" s="411"/>
      <c r="P105" s="411"/>
      <c r="Q105" s="411"/>
      <c r="R105" s="411"/>
      <c r="S105" s="411"/>
      <c r="T105" s="411"/>
      <c r="U105" s="411"/>
      <c r="V105" s="411"/>
      <c r="W105" s="411"/>
      <c r="X105" s="411"/>
      <c r="Y105" s="411"/>
      <c r="Z105" s="411"/>
      <c r="AA105" s="411"/>
      <c r="AB105" s="411"/>
      <c r="AC105" s="411"/>
      <c r="AD105" s="411"/>
      <c r="AE105" s="411"/>
      <c r="AF105" s="411"/>
      <c r="AG105" s="411"/>
    </row>
    <row r="106" ht="14.25" customHeight="1">
      <c r="O106" s="411"/>
      <c r="P106" s="411"/>
      <c r="Q106" s="411"/>
      <c r="R106" s="411"/>
      <c r="S106" s="411"/>
      <c r="T106" s="411"/>
      <c r="U106" s="411"/>
      <c r="V106" s="411"/>
      <c r="W106" s="411"/>
      <c r="X106" s="411"/>
      <c r="Y106" s="411"/>
      <c r="Z106" s="411"/>
      <c r="AA106" s="411"/>
      <c r="AB106" s="411"/>
      <c r="AC106" s="411"/>
      <c r="AD106" s="411"/>
      <c r="AE106" s="411"/>
      <c r="AF106" s="411"/>
      <c r="AG106" s="411"/>
    </row>
    <row r="107" ht="14.25" customHeight="1">
      <c r="O107" s="411"/>
      <c r="P107" s="411"/>
      <c r="Q107" s="411"/>
      <c r="R107" s="411"/>
      <c r="S107" s="411"/>
      <c r="T107" s="411"/>
      <c r="U107" s="411"/>
      <c r="V107" s="411"/>
      <c r="W107" s="411"/>
      <c r="X107" s="411"/>
      <c r="Y107" s="411"/>
      <c r="Z107" s="411"/>
      <c r="AA107" s="411"/>
      <c r="AB107" s="411"/>
      <c r="AC107" s="411"/>
      <c r="AD107" s="411"/>
      <c r="AE107" s="411"/>
      <c r="AF107" s="411"/>
      <c r="AG107" s="411"/>
    </row>
    <row r="108" ht="14.25" customHeight="1">
      <c r="O108" s="411"/>
      <c r="P108" s="411"/>
      <c r="Q108" s="411"/>
      <c r="R108" s="411"/>
      <c r="S108" s="411"/>
      <c r="T108" s="411"/>
      <c r="U108" s="411"/>
      <c r="V108" s="411"/>
      <c r="W108" s="411"/>
      <c r="X108" s="411"/>
      <c r="Y108" s="411"/>
      <c r="Z108" s="411"/>
      <c r="AA108" s="411"/>
      <c r="AB108" s="411"/>
      <c r="AC108" s="411"/>
      <c r="AD108" s="411"/>
      <c r="AE108" s="411"/>
      <c r="AF108" s="411"/>
      <c r="AG108" s="411"/>
    </row>
    <row r="109" ht="14.25" customHeight="1">
      <c r="O109" s="411"/>
      <c r="P109" s="411"/>
      <c r="Q109" s="411"/>
      <c r="R109" s="411"/>
      <c r="S109" s="411"/>
      <c r="T109" s="411"/>
      <c r="U109" s="411"/>
      <c r="V109" s="411"/>
      <c r="W109" s="411"/>
      <c r="X109" s="411"/>
      <c r="Y109" s="411"/>
      <c r="Z109" s="411"/>
      <c r="AA109" s="411"/>
      <c r="AB109" s="411"/>
      <c r="AC109" s="411"/>
      <c r="AD109" s="411"/>
      <c r="AE109" s="411"/>
      <c r="AF109" s="411"/>
      <c r="AG109" s="411"/>
    </row>
    <row r="110" ht="14.25" customHeight="1">
      <c r="O110" s="411"/>
      <c r="P110" s="411"/>
      <c r="Q110" s="411"/>
      <c r="R110" s="411"/>
      <c r="S110" s="411"/>
      <c r="T110" s="411"/>
      <c r="U110" s="411"/>
      <c r="V110" s="411"/>
      <c r="W110" s="411"/>
      <c r="X110" s="411"/>
      <c r="Y110" s="411"/>
      <c r="Z110" s="411"/>
      <c r="AA110" s="411"/>
      <c r="AB110" s="411"/>
      <c r="AC110" s="411"/>
      <c r="AD110" s="411"/>
      <c r="AE110" s="411"/>
      <c r="AF110" s="411"/>
      <c r="AG110" s="411"/>
    </row>
    <row r="111" ht="14.25" customHeight="1">
      <c r="O111" s="411"/>
      <c r="P111" s="411"/>
      <c r="Q111" s="411"/>
      <c r="R111" s="411"/>
      <c r="S111" s="411"/>
      <c r="T111" s="411"/>
      <c r="U111" s="411"/>
      <c r="V111" s="411"/>
      <c r="W111" s="411"/>
      <c r="X111" s="411"/>
      <c r="Y111" s="411"/>
      <c r="Z111" s="411"/>
      <c r="AA111" s="411"/>
      <c r="AB111" s="411"/>
      <c r="AC111" s="411"/>
      <c r="AD111" s="411"/>
      <c r="AE111" s="411"/>
      <c r="AF111" s="411"/>
      <c r="AG111" s="411"/>
    </row>
    <row r="112" ht="14.25" customHeight="1">
      <c r="O112" s="411"/>
      <c r="P112" s="411"/>
      <c r="Q112" s="411"/>
      <c r="R112" s="411"/>
      <c r="S112" s="411"/>
      <c r="T112" s="411"/>
      <c r="U112" s="411"/>
      <c r="V112" s="411"/>
      <c r="W112" s="411"/>
      <c r="X112" s="411"/>
      <c r="Y112" s="411"/>
      <c r="Z112" s="411"/>
      <c r="AA112" s="411"/>
      <c r="AB112" s="411"/>
      <c r="AC112" s="411"/>
      <c r="AD112" s="411"/>
      <c r="AE112" s="411"/>
      <c r="AF112" s="411"/>
      <c r="AG112" s="411"/>
    </row>
    <row r="113" ht="14.25" customHeight="1">
      <c r="O113" s="411"/>
      <c r="P113" s="411"/>
      <c r="Q113" s="411"/>
      <c r="R113" s="411"/>
      <c r="S113" s="411"/>
      <c r="T113" s="411"/>
      <c r="U113" s="411"/>
      <c r="V113" s="411"/>
      <c r="W113" s="411"/>
      <c r="X113" s="411"/>
      <c r="Y113" s="411"/>
      <c r="Z113" s="411"/>
      <c r="AA113" s="411"/>
      <c r="AB113" s="411"/>
      <c r="AC113" s="411"/>
      <c r="AD113" s="411"/>
      <c r="AE113" s="411"/>
      <c r="AF113" s="411"/>
      <c r="AG113" s="411"/>
    </row>
    <row r="114" ht="14.25" customHeight="1">
      <c r="O114" s="411"/>
      <c r="P114" s="411"/>
      <c r="Q114" s="411"/>
      <c r="R114" s="411"/>
      <c r="S114" s="411"/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</row>
    <row r="115" ht="14.25" customHeight="1">
      <c r="O115" s="411"/>
      <c r="P115" s="411"/>
      <c r="Q115" s="411"/>
      <c r="R115" s="411"/>
      <c r="S115" s="411"/>
      <c r="T115" s="411"/>
      <c r="U115" s="411"/>
      <c r="V115" s="411"/>
      <c r="W115" s="411"/>
      <c r="X115" s="411"/>
      <c r="Y115" s="411"/>
      <c r="Z115" s="411"/>
      <c r="AA115" s="411"/>
      <c r="AB115" s="411"/>
      <c r="AC115" s="411"/>
      <c r="AD115" s="411"/>
      <c r="AE115" s="411"/>
      <c r="AF115" s="411"/>
      <c r="AG115" s="411"/>
    </row>
    <row r="116" ht="14.25" customHeight="1">
      <c r="O116" s="411"/>
      <c r="P116" s="411"/>
      <c r="Q116" s="411"/>
      <c r="R116" s="411"/>
      <c r="S116" s="411"/>
      <c r="T116" s="411"/>
      <c r="U116" s="411"/>
      <c r="V116" s="411"/>
      <c r="W116" s="411"/>
      <c r="X116" s="411"/>
      <c r="Y116" s="411"/>
      <c r="Z116" s="411"/>
      <c r="AA116" s="411"/>
      <c r="AB116" s="411"/>
      <c r="AC116" s="411"/>
      <c r="AD116" s="411"/>
      <c r="AE116" s="411"/>
      <c r="AF116" s="411"/>
      <c r="AG116" s="411"/>
    </row>
    <row r="117" ht="14.25" customHeight="1">
      <c r="O117" s="411"/>
      <c r="P117" s="411"/>
      <c r="Q117" s="411"/>
      <c r="R117" s="411"/>
      <c r="S117" s="411"/>
      <c r="T117" s="411"/>
      <c r="U117" s="411"/>
      <c r="V117" s="411"/>
      <c r="W117" s="411"/>
      <c r="X117" s="411"/>
      <c r="Y117" s="411"/>
      <c r="Z117" s="411"/>
      <c r="AA117" s="411"/>
      <c r="AB117" s="411"/>
      <c r="AC117" s="411"/>
      <c r="AD117" s="411"/>
      <c r="AE117" s="411"/>
      <c r="AF117" s="411"/>
      <c r="AG117" s="411"/>
    </row>
    <row r="118" ht="14.25" customHeight="1">
      <c r="O118" s="411"/>
      <c r="P118" s="411"/>
      <c r="Q118" s="411"/>
      <c r="R118" s="411"/>
      <c r="S118" s="411"/>
      <c r="T118" s="411"/>
      <c r="U118" s="411"/>
      <c r="V118" s="411"/>
      <c r="W118" s="411"/>
      <c r="X118" s="411"/>
      <c r="Y118" s="411"/>
      <c r="Z118" s="411"/>
      <c r="AA118" s="411"/>
      <c r="AB118" s="411"/>
      <c r="AC118" s="411"/>
      <c r="AD118" s="411"/>
      <c r="AE118" s="411"/>
      <c r="AF118" s="411"/>
      <c r="AG118" s="411"/>
    </row>
    <row r="119" ht="14.25" customHeight="1">
      <c r="O119" s="411"/>
      <c r="P119" s="411"/>
      <c r="Q119" s="411"/>
      <c r="R119" s="411"/>
      <c r="S119" s="411"/>
      <c r="T119" s="411"/>
      <c r="U119" s="411"/>
      <c r="V119" s="411"/>
      <c r="W119" s="411"/>
      <c r="X119" s="411"/>
      <c r="Y119" s="411"/>
      <c r="Z119" s="411"/>
      <c r="AA119" s="411"/>
      <c r="AB119" s="411"/>
      <c r="AC119" s="411"/>
      <c r="AD119" s="411"/>
      <c r="AE119" s="411"/>
      <c r="AF119" s="411"/>
      <c r="AG119" s="411"/>
    </row>
    <row r="120" ht="14.25" customHeight="1">
      <c r="O120" s="411"/>
      <c r="P120" s="411"/>
      <c r="Q120" s="411"/>
      <c r="R120" s="411"/>
      <c r="S120" s="411"/>
      <c r="T120" s="411"/>
      <c r="U120" s="411"/>
      <c r="V120" s="411"/>
      <c r="W120" s="411"/>
      <c r="X120" s="411"/>
      <c r="Y120" s="411"/>
      <c r="Z120" s="411"/>
      <c r="AA120" s="411"/>
      <c r="AB120" s="411"/>
      <c r="AC120" s="411"/>
      <c r="AD120" s="411"/>
      <c r="AE120" s="411"/>
      <c r="AF120" s="411"/>
      <c r="AG120" s="411"/>
    </row>
    <row r="121" ht="14.25" customHeight="1">
      <c r="O121" s="411"/>
      <c r="P121" s="411"/>
      <c r="Q121" s="411"/>
      <c r="R121" s="411"/>
      <c r="S121" s="411"/>
      <c r="T121" s="411"/>
      <c r="U121" s="411"/>
      <c r="V121" s="411"/>
      <c r="W121" s="411"/>
      <c r="X121" s="411"/>
      <c r="Y121" s="411"/>
      <c r="Z121" s="411"/>
      <c r="AA121" s="411"/>
      <c r="AB121" s="411"/>
      <c r="AC121" s="411"/>
      <c r="AD121" s="411"/>
      <c r="AE121" s="411"/>
      <c r="AF121" s="411"/>
      <c r="AG121" s="411"/>
    </row>
    <row r="122" ht="14.25" customHeight="1">
      <c r="O122" s="411"/>
      <c r="P122" s="411"/>
      <c r="Q122" s="411"/>
      <c r="R122" s="411"/>
      <c r="S122" s="411"/>
      <c r="T122" s="411"/>
      <c r="U122" s="411"/>
      <c r="V122" s="411"/>
      <c r="W122" s="411"/>
      <c r="X122" s="411"/>
      <c r="Y122" s="411"/>
      <c r="Z122" s="411"/>
      <c r="AA122" s="411"/>
      <c r="AB122" s="411"/>
      <c r="AC122" s="411"/>
      <c r="AD122" s="411"/>
      <c r="AE122" s="411"/>
      <c r="AF122" s="411"/>
      <c r="AG122" s="411"/>
    </row>
    <row r="123" ht="14.25" customHeight="1">
      <c r="O123" s="411"/>
      <c r="P123" s="411"/>
      <c r="Q123" s="411"/>
      <c r="R123" s="411"/>
      <c r="S123" s="411"/>
      <c r="T123" s="411"/>
      <c r="U123" s="411"/>
      <c r="V123" s="411"/>
      <c r="W123" s="411"/>
      <c r="X123" s="411"/>
      <c r="Y123" s="411"/>
      <c r="Z123" s="411"/>
      <c r="AA123" s="411"/>
      <c r="AB123" s="411"/>
      <c r="AC123" s="411"/>
      <c r="AD123" s="411"/>
      <c r="AE123" s="411"/>
      <c r="AF123" s="411"/>
      <c r="AG123" s="411"/>
    </row>
    <row r="124" ht="14.25" customHeight="1">
      <c r="O124" s="411"/>
      <c r="P124" s="411"/>
      <c r="Q124" s="411"/>
      <c r="R124" s="411"/>
      <c r="S124" s="411"/>
      <c r="T124" s="411"/>
      <c r="U124" s="411"/>
      <c r="V124" s="411"/>
      <c r="W124" s="411"/>
      <c r="X124" s="411"/>
      <c r="Y124" s="411"/>
      <c r="Z124" s="411"/>
      <c r="AA124" s="411"/>
      <c r="AB124" s="411"/>
      <c r="AC124" s="411"/>
      <c r="AD124" s="411"/>
      <c r="AE124" s="411"/>
      <c r="AF124" s="411"/>
      <c r="AG124" s="411"/>
    </row>
    <row r="125" ht="14.25" customHeight="1">
      <c r="O125" s="411"/>
      <c r="P125" s="411"/>
      <c r="Q125" s="411"/>
      <c r="R125" s="411"/>
      <c r="S125" s="411"/>
      <c r="T125" s="411"/>
      <c r="U125" s="411"/>
      <c r="V125" s="411"/>
      <c r="W125" s="411"/>
      <c r="X125" s="411"/>
      <c r="Y125" s="411"/>
      <c r="Z125" s="411"/>
      <c r="AA125" s="411"/>
      <c r="AB125" s="411"/>
      <c r="AC125" s="411"/>
      <c r="AD125" s="411"/>
      <c r="AE125" s="411"/>
      <c r="AF125" s="411"/>
      <c r="AG125" s="411"/>
    </row>
    <row r="126" ht="14.25" customHeight="1">
      <c r="O126" s="411"/>
      <c r="P126" s="411"/>
      <c r="Q126" s="411"/>
      <c r="R126" s="411"/>
      <c r="S126" s="411"/>
      <c r="T126" s="411"/>
      <c r="U126" s="411"/>
      <c r="V126" s="411"/>
      <c r="W126" s="411"/>
      <c r="X126" s="411"/>
      <c r="Y126" s="411"/>
      <c r="Z126" s="411"/>
      <c r="AA126" s="411"/>
      <c r="AB126" s="411"/>
      <c r="AC126" s="411"/>
      <c r="AD126" s="411"/>
      <c r="AE126" s="411"/>
      <c r="AF126" s="411"/>
      <c r="AG126" s="411"/>
    </row>
    <row r="127" ht="14.25" customHeight="1">
      <c r="O127" s="411"/>
      <c r="P127" s="411"/>
      <c r="Q127" s="411"/>
      <c r="R127" s="411"/>
      <c r="S127" s="411"/>
      <c r="T127" s="411"/>
      <c r="U127" s="411"/>
      <c r="V127" s="411"/>
      <c r="W127" s="411"/>
      <c r="X127" s="411"/>
      <c r="Y127" s="411"/>
      <c r="Z127" s="411"/>
      <c r="AA127" s="411"/>
      <c r="AB127" s="411"/>
      <c r="AC127" s="411"/>
      <c r="AD127" s="411"/>
      <c r="AE127" s="411"/>
      <c r="AF127" s="411"/>
      <c r="AG127" s="411"/>
    </row>
    <row r="128" ht="14.25" customHeight="1">
      <c r="O128" s="411"/>
      <c r="P128" s="411"/>
      <c r="Q128" s="411"/>
      <c r="R128" s="411"/>
      <c r="S128" s="411"/>
      <c r="T128" s="411"/>
      <c r="U128" s="411"/>
      <c r="V128" s="411"/>
      <c r="W128" s="411"/>
      <c r="X128" s="411"/>
      <c r="Y128" s="411"/>
      <c r="Z128" s="411"/>
      <c r="AA128" s="411"/>
      <c r="AB128" s="411"/>
      <c r="AC128" s="411"/>
      <c r="AD128" s="411"/>
      <c r="AE128" s="411"/>
      <c r="AF128" s="411"/>
      <c r="AG128" s="411"/>
    </row>
    <row r="129" ht="14.25" customHeight="1">
      <c r="O129" s="411"/>
      <c r="P129" s="411"/>
      <c r="Q129" s="411"/>
      <c r="R129" s="411"/>
      <c r="S129" s="411"/>
      <c r="T129" s="411"/>
      <c r="U129" s="411"/>
      <c r="V129" s="411"/>
      <c r="W129" s="411"/>
      <c r="X129" s="411"/>
      <c r="Y129" s="411"/>
      <c r="Z129" s="411"/>
      <c r="AA129" s="411"/>
      <c r="AB129" s="411"/>
      <c r="AC129" s="411"/>
      <c r="AD129" s="411"/>
      <c r="AE129" s="411"/>
      <c r="AF129" s="411"/>
      <c r="AG129" s="411"/>
    </row>
    <row r="130" ht="14.25" customHeight="1">
      <c r="O130" s="411"/>
      <c r="P130" s="411"/>
      <c r="Q130" s="411"/>
      <c r="R130" s="411"/>
      <c r="S130" s="411"/>
      <c r="T130" s="411"/>
      <c r="U130" s="411"/>
      <c r="V130" s="411"/>
      <c r="W130" s="411"/>
      <c r="X130" s="411"/>
      <c r="Y130" s="411"/>
      <c r="Z130" s="411"/>
      <c r="AA130" s="411"/>
      <c r="AB130" s="411"/>
      <c r="AC130" s="411"/>
      <c r="AD130" s="411"/>
      <c r="AE130" s="411"/>
      <c r="AF130" s="411"/>
      <c r="AG130" s="411"/>
    </row>
    <row r="131" ht="14.25" customHeight="1">
      <c r="O131" s="411"/>
      <c r="P131" s="411"/>
      <c r="Q131" s="411"/>
      <c r="R131" s="411"/>
      <c r="S131" s="411"/>
      <c r="T131" s="411"/>
      <c r="U131" s="411"/>
      <c r="V131" s="411"/>
      <c r="W131" s="411"/>
      <c r="X131" s="411"/>
      <c r="Y131" s="411"/>
      <c r="Z131" s="411"/>
      <c r="AA131" s="411"/>
      <c r="AB131" s="411"/>
      <c r="AC131" s="411"/>
      <c r="AD131" s="411"/>
      <c r="AE131" s="411"/>
      <c r="AF131" s="411"/>
      <c r="AG131" s="411"/>
    </row>
    <row r="132" ht="14.25" customHeight="1">
      <c r="O132" s="411"/>
      <c r="P132" s="411"/>
      <c r="Q132" s="411"/>
      <c r="R132" s="411"/>
      <c r="S132" s="411"/>
      <c r="T132" s="411"/>
      <c r="U132" s="411"/>
      <c r="V132" s="411"/>
      <c r="W132" s="411"/>
      <c r="X132" s="411"/>
      <c r="Y132" s="411"/>
      <c r="Z132" s="411"/>
      <c r="AA132" s="411"/>
      <c r="AB132" s="411"/>
      <c r="AC132" s="411"/>
      <c r="AD132" s="411"/>
      <c r="AE132" s="411"/>
      <c r="AF132" s="411"/>
      <c r="AG132" s="411"/>
    </row>
    <row r="133" ht="14.25" customHeight="1">
      <c r="O133" s="411"/>
      <c r="P133" s="411"/>
      <c r="Q133" s="411"/>
      <c r="R133" s="411"/>
      <c r="S133" s="411"/>
      <c r="T133" s="411"/>
      <c r="U133" s="411"/>
      <c r="V133" s="411"/>
      <c r="W133" s="411"/>
      <c r="X133" s="411"/>
      <c r="Y133" s="411"/>
      <c r="Z133" s="411"/>
      <c r="AA133" s="411"/>
      <c r="AB133" s="411"/>
      <c r="AC133" s="411"/>
      <c r="AD133" s="411"/>
      <c r="AE133" s="411"/>
      <c r="AF133" s="411"/>
      <c r="AG133" s="411"/>
    </row>
    <row r="134" ht="14.25" customHeight="1">
      <c r="O134" s="411"/>
      <c r="P134" s="411"/>
      <c r="Q134" s="411"/>
      <c r="R134" s="411"/>
      <c r="S134" s="411"/>
      <c r="T134" s="411"/>
      <c r="U134" s="411"/>
      <c r="V134" s="411"/>
      <c r="W134" s="411"/>
      <c r="X134" s="411"/>
      <c r="Y134" s="411"/>
      <c r="Z134" s="411"/>
      <c r="AA134" s="411"/>
      <c r="AB134" s="411"/>
      <c r="AC134" s="411"/>
      <c r="AD134" s="411"/>
      <c r="AE134" s="411"/>
      <c r="AF134" s="411"/>
      <c r="AG134" s="411"/>
    </row>
    <row r="135" ht="14.25" customHeight="1">
      <c r="O135" s="411"/>
      <c r="P135" s="411"/>
      <c r="Q135" s="411"/>
      <c r="R135" s="411"/>
      <c r="S135" s="411"/>
      <c r="T135" s="411"/>
      <c r="U135" s="411"/>
      <c r="V135" s="411"/>
      <c r="W135" s="411"/>
      <c r="X135" s="411"/>
      <c r="Y135" s="411"/>
      <c r="Z135" s="411"/>
      <c r="AA135" s="411"/>
      <c r="AB135" s="411"/>
      <c r="AC135" s="411"/>
      <c r="AD135" s="411"/>
      <c r="AE135" s="411"/>
      <c r="AF135" s="411"/>
      <c r="AG135" s="411"/>
    </row>
    <row r="136" ht="14.25" customHeight="1">
      <c r="O136" s="411"/>
      <c r="P136" s="411"/>
      <c r="Q136" s="411"/>
      <c r="R136" s="411"/>
      <c r="S136" s="411"/>
      <c r="T136" s="411"/>
      <c r="U136" s="411"/>
      <c r="V136" s="411"/>
      <c r="W136" s="411"/>
      <c r="X136" s="411"/>
      <c r="Y136" s="411"/>
      <c r="Z136" s="411"/>
      <c r="AA136" s="411"/>
      <c r="AB136" s="411"/>
      <c r="AC136" s="411"/>
      <c r="AD136" s="411"/>
      <c r="AE136" s="411"/>
      <c r="AF136" s="411"/>
      <c r="AG136" s="411"/>
    </row>
    <row r="137" ht="14.25" customHeight="1">
      <c r="O137" s="411"/>
      <c r="P137" s="411"/>
      <c r="Q137" s="411"/>
      <c r="R137" s="411"/>
      <c r="S137" s="411"/>
      <c r="T137" s="411"/>
      <c r="U137" s="411"/>
      <c r="V137" s="411"/>
      <c r="W137" s="411"/>
      <c r="X137" s="411"/>
      <c r="Y137" s="411"/>
      <c r="Z137" s="411"/>
      <c r="AA137" s="411"/>
      <c r="AB137" s="411"/>
      <c r="AC137" s="411"/>
      <c r="AD137" s="411"/>
      <c r="AE137" s="411"/>
      <c r="AF137" s="411"/>
      <c r="AG137" s="411"/>
    </row>
    <row r="138" ht="14.25" customHeight="1">
      <c r="O138" s="411"/>
      <c r="P138" s="411"/>
      <c r="Q138" s="411"/>
      <c r="R138" s="411"/>
      <c r="S138" s="411"/>
      <c r="T138" s="411"/>
      <c r="U138" s="411"/>
      <c r="V138" s="411"/>
      <c r="W138" s="411"/>
      <c r="X138" s="411"/>
      <c r="Y138" s="411"/>
      <c r="Z138" s="411"/>
      <c r="AA138" s="411"/>
      <c r="AB138" s="411"/>
      <c r="AC138" s="411"/>
      <c r="AD138" s="411"/>
      <c r="AE138" s="411"/>
      <c r="AF138" s="411"/>
      <c r="AG138" s="411"/>
    </row>
    <row r="139" ht="14.25" customHeight="1">
      <c r="O139" s="411"/>
      <c r="P139" s="411"/>
      <c r="Q139" s="411"/>
      <c r="R139" s="411"/>
      <c r="S139" s="411"/>
      <c r="T139" s="411"/>
      <c r="U139" s="411"/>
      <c r="V139" s="411"/>
      <c r="W139" s="411"/>
      <c r="X139" s="411"/>
      <c r="Y139" s="411"/>
      <c r="Z139" s="411"/>
      <c r="AA139" s="411"/>
      <c r="AB139" s="411"/>
      <c r="AC139" s="411"/>
      <c r="AD139" s="411"/>
      <c r="AE139" s="411"/>
      <c r="AF139" s="411"/>
      <c r="AG139" s="411"/>
    </row>
    <row r="140" ht="14.25" customHeight="1">
      <c r="O140" s="411"/>
      <c r="P140" s="411"/>
      <c r="Q140" s="411"/>
      <c r="R140" s="411"/>
      <c r="S140" s="411"/>
      <c r="T140" s="411"/>
      <c r="U140" s="411"/>
      <c r="V140" s="411"/>
      <c r="W140" s="411"/>
      <c r="X140" s="411"/>
      <c r="Y140" s="411"/>
      <c r="Z140" s="411"/>
      <c r="AA140" s="411"/>
      <c r="AB140" s="411"/>
      <c r="AC140" s="411"/>
      <c r="AD140" s="411"/>
      <c r="AE140" s="411"/>
      <c r="AF140" s="411"/>
      <c r="AG140" s="411"/>
    </row>
    <row r="141" ht="14.25" customHeight="1">
      <c r="O141" s="411"/>
      <c r="P141" s="411"/>
      <c r="Q141" s="411"/>
      <c r="R141" s="411"/>
      <c r="S141" s="411"/>
      <c r="T141" s="411"/>
      <c r="U141" s="411"/>
      <c r="V141" s="411"/>
      <c r="W141" s="411"/>
      <c r="X141" s="411"/>
      <c r="Y141" s="411"/>
      <c r="Z141" s="411"/>
      <c r="AA141" s="411"/>
      <c r="AB141" s="411"/>
      <c r="AC141" s="411"/>
      <c r="AD141" s="411"/>
      <c r="AE141" s="411"/>
      <c r="AF141" s="411"/>
      <c r="AG141" s="411"/>
    </row>
    <row r="142" ht="14.25" customHeight="1">
      <c r="O142" s="411"/>
      <c r="P142" s="411"/>
      <c r="Q142" s="411"/>
      <c r="R142" s="411"/>
      <c r="S142" s="411"/>
      <c r="T142" s="411"/>
      <c r="U142" s="411"/>
      <c r="V142" s="411"/>
      <c r="W142" s="411"/>
      <c r="X142" s="411"/>
      <c r="Y142" s="411"/>
      <c r="Z142" s="411"/>
      <c r="AA142" s="411"/>
      <c r="AB142" s="411"/>
      <c r="AC142" s="411"/>
      <c r="AD142" s="411"/>
      <c r="AE142" s="411"/>
      <c r="AF142" s="411"/>
      <c r="AG142" s="411"/>
    </row>
    <row r="143" ht="14.25" customHeight="1">
      <c r="O143" s="411"/>
      <c r="P143" s="411"/>
      <c r="Q143" s="411"/>
      <c r="R143" s="411"/>
      <c r="S143" s="411"/>
      <c r="T143" s="411"/>
      <c r="U143" s="411"/>
      <c r="V143" s="411"/>
      <c r="W143" s="411"/>
      <c r="X143" s="411"/>
      <c r="Y143" s="411"/>
      <c r="Z143" s="411"/>
      <c r="AA143" s="411"/>
      <c r="AB143" s="411"/>
      <c r="AC143" s="411"/>
      <c r="AD143" s="411"/>
      <c r="AE143" s="411"/>
      <c r="AF143" s="411"/>
      <c r="AG143" s="411"/>
    </row>
    <row r="144" ht="14.25" customHeight="1"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411"/>
      <c r="AA144" s="411"/>
      <c r="AB144" s="411"/>
      <c r="AC144" s="411"/>
      <c r="AD144" s="411"/>
      <c r="AE144" s="411"/>
      <c r="AF144" s="411"/>
      <c r="AG144" s="411"/>
    </row>
    <row r="145" ht="14.25" customHeight="1">
      <c r="O145" s="411"/>
      <c r="P145" s="411"/>
      <c r="Q145" s="411"/>
      <c r="R145" s="411"/>
      <c r="S145" s="411"/>
      <c r="T145" s="411"/>
      <c r="U145" s="411"/>
      <c r="V145" s="411"/>
      <c r="W145" s="411"/>
      <c r="X145" s="411"/>
      <c r="Y145" s="411"/>
      <c r="Z145" s="411"/>
      <c r="AA145" s="411"/>
      <c r="AB145" s="411"/>
      <c r="AC145" s="411"/>
      <c r="AD145" s="411"/>
      <c r="AE145" s="411"/>
      <c r="AF145" s="411"/>
      <c r="AG145" s="411"/>
    </row>
    <row r="146" ht="14.25" customHeight="1">
      <c r="O146" s="411"/>
      <c r="P146" s="411"/>
      <c r="Q146" s="411"/>
      <c r="R146" s="411"/>
      <c r="S146" s="411"/>
      <c r="T146" s="411"/>
      <c r="U146" s="411"/>
      <c r="V146" s="411"/>
      <c r="W146" s="411"/>
      <c r="X146" s="411"/>
      <c r="Y146" s="411"/>
      <c r="Z146" s="411"/>
      <c r="AA146" s="411"/>
      <c r="AB146" s="411"/>
      <c r="AC146" s="411"/>
      <c r="AD146" s="411"/>
      <c r="AE146" s="411"/>
      <c r="AF146" s="411"/>
      <c r="AG146" s="411"/>
    </row>
    <row r="147" ht="14.25" customHeight="1">
      <c r="O147" s="411"/>
      <c r="P147" s="411"/>
      <c r="Q147" s="411"/>
      <c r="R147" s="411"/>
      <c r="S147" s="411"/>
      <c r="T147" s="411"/>
      <c r="U147" s="411"/>
      <c r="V147" s="411"/>
      <c r="W147" s="411"/>
      <c r="X147" s="411"/>
      <c r="Y147" s="411"/>
      <c r="Z147" s="411"/>
      <c r="AA147" s="411"/>
      <c r="AB147" s="411"/>
      <c r="AC147" s="411"/>
      <c r="AD147" s="411"/>
      <c r="AE147" s="411"/>
      <c r="AF147" s="411"/>
      <c r="AG147" s="411"/>
    </row>
    <row r="148" ht="14.25" customHeight="1">
      <c r="O148" s="411"/>
      <c r="P148" s="411"/>
      <c r="Q148" s="411"/>
      <c r="R148" s="411"/>
      <c r="S148" s="411"/>
      <c r="T148" s="411"/>
      <c r="U148" s="411"/>
      <c r="V148" s="411"/>
      <c r="W148" s="411"/>
      <c r="X148" s="411"/>
      <c r="Y148" s="411"/>
      <c r="Z148" s="411"/>
      <c r="AA148" s="411"/>
      <c r="AB148" s="411"/>
      <c r="AC148" s="411"/>
      <c r="AD148" s="411"/>
      <c r="AE148" s="411"/>
      <c r="AF148" s="411"/>
      <c r="AG148" s="411"/>
    </row>
    <row r="149" ht="14.25" customHeight="1">
      <c r="O149" s="411"/>
      <c r="P149" s="411"/>
      <c r="Q149" s="411"/>
      <c r="R149" s="411"/>
      <c r="S149" s="411"/>
      <c r="T149" s="411"/>
      <c r="U149" s="411"/>
      <c r="V149" s="411"/>
      <c r="W149" s="411"/>
      <c r="X149" s="411"/>
      <c r="Y149" s="411"/>
      <c r="Z149" s="411"/>
      <c r="AA149" s="411"/>
      <c r="AB149" s="411"/>
      <c r="AC149" s="411"/>
      <c r="AD149" s="411"/>
      <c r="AE149" s="411"/>
      <c r="AF149" s="411"/>
      <c r="AG149" s="411"/>
    </row>
    <row r="150" ht="14.25" customHeight="1">
      <c r="O150" s="411"/>
      <c r="P150" s="411"/>
      <c r="Q150" s="411"/>
      <c r="R150" s="411"/>
      <c r="S150" s="411"/>
      <c r="T150" s="411"/>
      <c r="U150" s="411"/>
      <c r="V150" s="411"/>
      <c r="W150" s="411"/>
      <c r="X150" s="411"/>
      <c r="Y150" s="411"/>
      <c r="Z150" s="411"/>
      <c r="AA150" s="411"/>
      <c r="AB150" s="411"/>
      <c r="AC150" s="411"/>
      <c r="AD150" s="411"/>
      <c r="AE150" s="411"/>
      <c r="AF150" s="411"/>
      <c r="AG150" s="411"/>
    </row>
    <row r="151" ht="14.25" customHeight="1">
      <c r="O151" s="411"/>
      <c r="P151" s="411"/>
      <c r="Q151" s="411"/>
      <c r="R151" s="411"/>
      <c r="S151" s="411"/>
      <c r="T151" s="411"/>
      <c r="U151" s="411"/>
      <c r="V151" s="411"/>
      <c r="W151" s="411"/>
      <c r="X151" s="411"/>
      <c r="Y151" s="411"/>
      <c r="Z151" s="411"/>
      <c r="AA151" s="411"/>
      <c r="AB151" s="411"/>
      <c r="AC151" s="411"/>
      <c r="AD151" s="411"/>
      <c r="AE151" s="411"/>
      <c r="AF151" s="411"/>
      <c r="AG151" s="411"/>
    </row>
    <row r="152" ht="14.25" customHeight="1">
      <c r="O152" s="411"/>
      <c r="P152" s="411"/>
      <c r="Q152" s="411"/>
      <c r="R152" s="411"/>
      <c r="S152" s="411"/>
      <c r="T152" s="411"/>
      <c r="U152" s="411"/>
      <c r="V152" s="411"/>
      <c r="W152" s="411"/>
      <c r="X152" s="411"/>
      <c r="Y152" s="411"/>
      <c r="Z152" s="411"/>
      <c r="AA152" s="411"/>
      <c r="AB152" s="411"/>
      <c r="AC152" s="411"/>
      <c r="AD152" s="411"/>
      <c r="AE152" s="411"/>
      <c r="AF152" s="411"/>
      <c r="AG152" s="411"/>
    </row>
    <row r="153" ht="14.25" customHeight="1">
      <c r="O153" s="411"/>
      <c r="P153" s="411"/>
      <c r="Q153" s="411"/>
      <c r="R153" s="411"/>
      <c r="S153" s="411"/>
      <c r="T153" s="411"/>
      <c r="U153" s="411"/>
      <c r="V153" s="411"/>
      <c r="W153" s="411"/>
      <c r="X153" s="411"/>
      <c r="Y153" s="411"/>
      <c r="Z153" s="411"/>
      <c r="AA153" s="411"/>
      <c r="AB153" s="411"/>
      <c r="AC153" s="411"/>
      <c r="AD153" s="411"/>
      <c r="AE153" s="411"/>
      <c r="AF153" s="411"/>
      <c r="AG153" s="411"/>
    </row>
    <row r="154" ht="14.25" customHeight="1">
      <c r="O154" s="411"/>
      <c r="P154" s="411"/>
      <c r="Q154" s="411"/>
      <c r="R154" s="411"/>
      <c r="S154" s="411"/>
      <c r="T154" s="411"/>
      <c r="U154" s="411"/>
      <c r="V154" s="411"/>
      <c r="W154" s="411"/>
      <c r="X154" s="411"/>
      <c r="Y154" s="411"/>
      <c r="Z154" s="411"/>
      <c r="AA154" s="411"/>
      <c r="AB154" s="411"/>
      <c r="AC154" s="411"/>
      <c r="AD154" s="411"/>
      <c r="AE154" s="411"/>
      <c r="AF154" s="411"/>
      <c r="AG154" s="411"/>
    </row>
    <row r="155" ht="14.25" customHeight="1">
      <c r="O155" s="411"/>
      <c r="P155" s="411"/>
      <c r="Q155" s="411"/>
      <c r="R155" s="411"/>
      <c r="S155" s="411"/>
      <c r="T155" s="411"/>
      <c r="U155" s="411"/>
      <c r="V155" s="411"/>
      <c r="W155" s="411"/>
      <c r="X155" s="411"/>
      <c r="Y155" s="411"/>
      <c r="Z155" s="411"/>
      <c r="AA155" s="411"/>
      <c r="AB155" s="411"/>
      <c r="AC155" s="411"/>
      <c r="AD155" s="411"/>
      <c r="AE155" s="411"/>
      <c r="AF155" s="411"/>
      <c r="AG155" s="411"/>
    </row>
    <row r="156" ht="14.25" customHeight="1">
      <c r="O156" s="411"/>
      <c r="P156" s="411"/>
      <c r="Q156" s="411"/>
      <c r="R156" s="411"/>
      <c r="S156" s="411"/>
      <c r="T156" s="411"/>
      <c r="U156" s="411"/>
      <c r="V156" s="411"/>
      <c r="W156" s="411"/>
      <c r="X156" s="411"/>
      <c r="Y156" s="411"/>
      <c r="Z156" s="411"/>
      <c r="AA156" s="411"/>
      <c r="AB156" s="411"/>
      <c r="AC156" s="411"/>
      <c r="AD156" s="411"/>
      <c r="AE156" s="411"/>
      <c r="AF156" s="411"/>
      <c r="AG156" s="411"/>
    </row>
    <row r="157" ht="14.25" customHeight="1">
      <c r="O157" s="411"/>
      <c r="P157" s="411"/>
      <c r="Q157" s="411"/>
      <c r="R157" s="411"/>
      <c r="S157" s="411"/>
      <c r="T157" s="411"/>
      <c r="U157" s="411"/>
      <c r="V157" s="411"/>
      <c r="W157" s="411"/>
      <c r="X157" s="411"/>
      <c r="Y157" s="411"/>
      <c r="Z157" s="411"/>
      <c r="AA157" s="411"/>
      <c r="AB157" s="411"/>
      <c r="AC157" s="411"/>
      <c r="AD157" s="411"/>
      <c r="AE157" s="411"/>
      <c r="AF157" s="411"/>
      <c r="AG157" s="411"/>
    </row>
    <row r="158" ht="14.25" customHeight="1">
      <c r="O158" s="411"/>
      <c r="P158" s="411"/>
      <c r="Q158" s="411"/>
      <c r="R158" s="411"/>
      <c r="S158" s="411"/>
      <c r="T158" s="411"/>
      <c r="U158" s="411"/>
      <c r="V158" s="411"/>
      <c r="W158" s="411"/>
      <c r="X158" s="411"/>
      <c r="Y158" s="411"/>
      <c r="Z158" s="411"/>
      <c r="AA158" s="411"/>
      <c r="AB158" s="411"/>
      <c r="AC158" s="411"/>
      <c r="AD158" s="411"/>
      <c r="AE158" s="411"/>
      <c r="AF158" s="411"/>
      <c r="AG158" s="411"/>
    </row>
    <row r="159" ht="14.25" customHeight="1">
      <c r="O159" s="411"/>
      <c r="P159" s="411"/>
      <c r="Q159" s="411"/>
      <c r="R159" s="411"/>
      <c r="S159" s="411"/>
      <c r="T159" s="411"/>
      <c r="U159" s="411"/>
      <c r="V159" s="411"/>
      <c r="W159" s="411"/>
      <c r="X159" s="411"/>
      <c r="Y159" s="411"/>
      <c r="Z159" s="411"/>
      <c r="AA159" s="411"/>
      <c r="AB159" s="411"/>
      <c r="AC159" s="411"/>
      <c r="AD159" s="411"/>
      <c r="AE159" s="411"/>
      <c r="AF159" s="411"/>
      <c r="AG159" s="411"/>
    </row>
    <row r="160" ht="14.25" customHeight="1">
      <c r="O160" s="411"/>
      <c r="P160" s="411"/>
      <c r="Q160" s="411"/>
      <c r="R160" s="411"/>
      <c r="S160" s="411"/>
      <c r="T160" s="411"/>
      <c r="U160" s="411"/>
      <c r="V160" s="411"/>
      <c r="W160" s="411"/>
      <c r="X160" s="411"/>
      <c r="Y160" s="411"/>
      <c r="Z160" s="411"/>
      <c r="AA160" s="411"/>
      <c r="AB160" s="411"/>
      <c r="AC160" s="411"/>
      <c r="AD160" s="411"/>
      <c r="AE160" s="411"/>
      <c r="AF160" s="411"/>
      <c r="AG160" s="411"/>
    </row>
    <row r="161" ht="14.25" customHeight="1">
      <c r="O161" s="411"/>
      <c r="P161" s="411"/>
      <c r="Q161" s="411"/>
      <c r="R161" s="411"/>
      <c r="S161" s="411"/>
      <c r="T161" s="411"/>
      <c r="U161" s="411"/>
      <c r="V161" s="411"/>
      <c r="W161" s="411"/>
      <c r="X161" s="411"/>
      <c r="Y161" s="411"/>
      <c r="Z161" s="411"/>
      <c r="AA161" s="411"/>
      <c r="AB161" s="411"/>
      <c r="AC161" s="411"/>
      <c r="AD161" s="411"/>
      <c r="AE161" s="411"/>
      <c r="AF161" s="411"/>
      <c r="AG161" s="411"/>
    </row>
    <row r="162" ht="14.25" customHeight="1">
      <c r="O162" s="411"/>
      <c r="P162" s="411"/>
      <c r="Q162" s="411"/>
      <c r="R162" s="411"/>
      <c r="S162" s="411"/>
      <c r="T162" s="411"/>
      <c r="U162" s="411"/>
      <c r="V162" s="411"/>
      <c r="W162" s="411"/>
      <c r="X162" s="411"/>
      <c r="Y162" s="411"/>
      <c r="Z162" s="411"/>
      <c r="AA162" s="411"/>
      <c r="AB162" s="411"/>
      <c r="AC162" s="411"/>
      <c r="AD162" s="411"/>
      <c r="AE162" s="411"/>
      <c r="AF162" s="411"/>
      <c r="AG162" s="411"/>
    </row>
    <row r="163" ht="14.25" customHeight="1">
      <c r="O163" s="411"/>
      <c r="P163" s="411"/>
      <c r="Q163" s="411"/>
      <c r="R163" s="411"/>
      <c r="S163" s="411"/>
      <c r="T163" s="411"/>
      <c r="U163" s="411"/>
      <c r="V163" s="411"/>
      <c r="W163" s="411"/>
      <c r="X163" s="411"/>
      <c r="Y163" s="411"/>
      <c r="Z163" s="411"/>
      <c r="AA163" s="411"/>
      <c r="AB163" s="411"/>
      <c r="AC163" s="411"/>
      <c r="AD163" s="411"/>
      <c r="AE163" s="411"/>
      <c r="AF163" s="411"/>
      <c r="AG163" s="411"/>
    </row>
    <row r="164" ht="14.25" customHeight="1">
      <c r="O164" s="411"/>
      <c r="P164" s="411"/>
      <c r="Q164" s="411"/>
      <c r="R164" s="411"/>
      <c r="S164" s="411"/>
      <c r="T164" s="411"/>
      <c r="U164" s="411"/>
      <c r="V164" s="411"/>
      <c r="W164" s="411"/>
      <c r="X164" s="411"/>
      <c r="Y164" s="411"/>
      <c r="Z164" s="411"/>
      <c r="AA164" s="411"/>
      <c r="AB164" s="411"/>
      <c r="AC164" s="411"/>
      <c r="AD164" s="411"/>
      <c r="AE164" s="411"/>
      <c r="AF164" s="411"/>
      <c r="AG164" s="411"/>
    </row>
    <row r="165" ht="14.25" customHeight="1">
      <c r="O165" s="411"/>
      <c r="P165" s="411"/>
      <c r="Q165" s="411"/>
      <c r="R165" s="411"/>
      <c r="S165" s="411"/>
      <c r="T165" s="411"/>
      <c r="U165" s="411"/>
      <c r="V165" s="411"/>
      <c r="W165" s="411"/>
      <c r="X165" s="411"/>
      <c r="Y165" s="411"/>
      <c r="Z165" s="411"/>
      <c r="AA165" s="411"/>
      <c r="AB165" s="411"/>
      <c r="AC165" s="411"/>
      <c r="AD165" s="411"/>
      <c r="AE165" s="411"/>
      <c r="AF165" s="411"/>
      <c r="AG165" s="411"/>
    </row>
    <row r="166" ht="14.25" customHeight="1">
      <c r="O166" s="411"/>
      <c r="P166" s="411"/>
      <c r="Q166" s="411"/>
      <c r="R166" s="411"/>
      <c r="S166" s="411"/>
      <c r="T166" s="411"/>
      <c r="U166" s="411"/>
      <c r="V166" s="411"/>
      <c r="W166" s="411"/>
      <c r="X166" s="411"/>
      <c r="Y166" s="411"/>
      <c r="Z166" s="411"/>
      <c r="AA166" s="411"/>
      <c r="AB166" s="411"/>
      <c r="AC166" s="411"/>
      <c r="AD166" s="411"/>
      <c r="AE166" s="411"/>
      <c r="AF166" s="411"/>
      <c r="AG166" s="411"/>
    </row>
    <row r="167" ht="14.25" customHeight="1">
      <c r="O167" s="411"/>
      <c r="P167" s="411"/>
      <c r="Q167" s="411"/>
      <c r="R167" s="411"/>
      <c r="S167" s="411"/>
      <c r="T167" s="411"/>
      <c r="U167" s="411"/>
      <c r="V167" s="411"/>
      <c r="W167" s="411"/>
      <c r="X167" s="411"/>
      <c r="Y167" s="411"/>
      <c r="Z167" s="411"/>
      <c r="AA167" s="411"/>
      <c r="AB167" s="411"/>
      <c r="AC167" s="411"/>
      <c r="AD167" s="411"/>
      <c r="AE167" s="411"/>
      <c r="AF167" s="411"/>
      <c r="AG167" s="411"/>
    </row>
    <row r="168" ht="14.25" customHeight="1"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411"/>
      <c r="AA168" s="411"/>
      <c r="AB168" s="411"/>
      <c r="AC168" s="411"/>
      <c r="AD168" s="411"/>
      <c r="AE168" s="411"/>
      <c r="AF168" s="411"/>
      <c r="AG168" s="411"/>
    </row>
    <row r="169" ht="14.25" customHeight="1">
      <c r="O169" s="411"/>
      <c r="P169" s="411"/>
      <c r="Q169" s="411"/>
      <c r="R169" s="411"/>
      <c r="S169" s="411"/>
      <c r="T169" s="411"/>
      <c r="U169" s="411"/>
      <c r="V169" s="411"/>
      <c r="W169" s="411"/>
      <c r="X169" s="411"/>
      <c r="Y169" s="411"/>
      <c r="Z169" s="411"/>
      <c r="AA169" s="411"/>
      <c r="AB169" s="411"/>
      <c r="AC169" s="411"/>
      <c r="AD169" s="411"/>
      <c r="AE169" s="411"/>
      <c r="AF169" s="411"/>
      <c r="AG169" s="411"/>
    </row>
    <row r="170" ht="14.25" customHeight="1">
      <c r="O170" s="411"/>
      <c r="P170" s="411"/>
      <c r="Q170" s="411"/>
      <c r="R170" s="411"/>
      <c r="S170" s="411"/>
      <c r="T170" s="411"/>
      <c r="U170" s="411"/>
      <c r="V170" s="411"/>
      <c r="W170" s="411"/>
      <c r="X170" s="411"/>
      <c r="Y170" s="411"/>
      <c r="Z170" s="411"/>
      <c r="AA170" s="411"/>
      <c r="AB170" s="411"/>
      <c r="AC170" s="411"/>
      <c r="AD170" s="411"/>
      <c r="AE170" s="411"/>
      <c r="AF170" s="411"/>
      <c r="AG170" s="411"/>
    </row>
    <row r="171" ht="14.25" customHeight="1">
      <c r="O171" s="411"/>
      <c r="P171" s="411"/>
      <c r="Q171" s="411"/>
      <c r="R171" s="411"/>
      <c r="S171" s="411"/>
      <c r="T171" s="411"/>
      <c r="U171" s="411"/>
      <c r="V171" s="411"/>
      <c r="W171" s="411"/>
      <c r="X171" s="411"/>
      <c r="Y171" s="411"/>
      <c r="Z171" s="411"/>
      <c r="AA171" s="411"/>
      <c r="AB171" s="411"/>
      <c r="AC171" s="411"/>
      <c r="AD171" s="411"/>
      <c r="AE171" s="411"/>
      <c r="AF171" s="411"/>
      <c r="AG171" s="411"/>
    </row>
    <row r="172" ht="14.25" customHeight="1">
      <c r="O172" s="411"/>
      <c r="P172" s="411"/>
      <c r="Q172" s="411"/>
      <c r="R172" s="411"/>
      <c r="S172" s="411"/>
      <c r="T172" s="411"/>
      <c r="U172" s="411"/>
      <c r="V172" s="411"/>
      <c r="W172" s="411"/>
      <c r="X172" s="411"/>
      <c r="Y172" s="411"/>
      <c r="Z172" s="411"/>
      <c r="AA172" s="411"/>
      <c r="AB172" s="411"/>
      <c r="AC172" s="411"/>
      <c r="AD172" s="411"/>
      <c r="AE172" s="411"/>
      <c r="AF172" s="411"/>
      <c r="AG172" s="411"/>
    </row>
    <row r="173" ht="14.25" customHeight="1">
      <c r="O173" s="411"/>
      <c r="P173" s="411"/>
      <c r="Q173" s="411"/>
      <c r="R173" s="411"/>
      <c r="S173" s="411"/>
      <c r="T173" s="411"/>
      <c r="U173" s="411"/>
      <c r="V173" s="411"/>
      <c r="W173" s="411"/>
      <c r="X173" s="411"/>
      <c r="Y173" s="411"/>
      <c r="Z173" s="411"/>
      <c r="AA173" s="411"/>
      <c r="AB173" s="411"/>
      <c r="AC173" s="411"/>
      <c r="AD173" s="411"/>
      <c r="AE173" s="411"/>
      <c r="AF173" s="411"/>
      <c r="AG173" s="411"/>
    </row>
    <row r="174" ht="14.25" customHeight="1">
      <c r="O174" s="411"/>
      <c r="P174" s="411"/>
      <c r="Q174" s="411"/>
      <c r="R174" s="411"/>
      <c r="S174" s="411"/>
      <c r="T174" s="411"/>
      <c r="U174" s="411"/>
      <c r="V174" s="411"/>
      <c r="W174" s="411"/>
      <c r="X174" s="411"/>
      <c r="Y174" s="411"/>
      <c r="Z174" s="411"/>
      <c r="AA174" s="411"/>
      <c r="AB174" s="411"/>
      <c r="AC174" s="411"/>
      <c r="AD174" s="411"/>
      <c r="AE174" s="411"/>
      <c r="AF174" s="411"/>
      <c r="AG174" s="411"/>
    </row>
    <row r="175" ht="14.25" customHeight="1">
      <c r="O175" s="411"/>
      <c r="P175" s="411"/>
      <c r="Q175" s="411"/>
      <c r="R175" s="411"/>
      <c r="S175" s="411"/>
      <c r="T175" s="411"/>
      <c r="U175" s="411"/>
      <c r="V175" s="411"/>
      <c r="W175" s="411"/>
      <c r="X175" s="411"/>
      <c r="Y175" s="411"/>
      <c r="Z175" s="411"/>
      <c r="AA175" s="411"/>
      <c r="AB175" s="411"/>
      <c r="AC175" s="411"/>
      <c r="AD175" s="411"/>
      <c r="AE175" s="411"/>
      <c r="AF175" s="411"/>
      <c r="AG175" s="411"/>
    </row>
    <row r="176" ht="14.25" customHeight="1">
      <c r="O176" s="411"/>
      <c r="P176" s="411"/>
      <c r="Q176" s="411"/>
      <c r="R176" s="411"/>
      <c r="S176" s="411"/>
      <c r="T176" s="411"/>
      <c r="U176" s="411"/>
      <c r="V176" s="411"/>
      <c r="W176" s="411"/>
      <c r="X176" s="411"/>
      <c r="Y176" s="411"/>
      <c r="Z176" s="411"/>
      <c r="AA176" s="411"/>
      <c r="AB176" s="411"/>
      <c r="AC176" s="411"/>
      <c r="AD176" s="411"/>
      <c r="AE176" s="411"/>
      <c r="AF176" s="411"/>
      <c r="AG176" s="411"/>
    </row>
    <row r="177" ht="14.25" customHeight="1">
      <c r="O177" s="411"/>
      <c r="P177" s="411"/>
      <c r="Q177" s="411"/>
      <c r="R177" s="411"/>
      <c r="S177" s="411"/>
      <c r="T177" s="411"/>
      <c r="U177" s="411"/>
      <c r="V177" s="411"/>
      <c r="W177" s="411"/>
      <c r="X177" s="411"/>
      <c r="Y177" s="411"/>
      <c r="Z177" s="411"/>
      <c r="AA177" s="411"/>
      <c r="AB177" s="411"/>
      <c r="AC177" s="411"/>
      <c r="AD177" s="411"/>
      <c r="AE177" s="411"/>
      <c r="AF177" s="411"/>
      <c r="AG177" s="411"/>
    </row>
    <row r="178" ht="14.25" customHeight="1">
      <c r="O178" s="411"/>
      <c r="P178" s="411"/>
      <c r="Q178" s="411"/>
      <c r="R178" s="411"/>
      <c r="S178" s="411"/>
      <c r="T178" s="411"/>
      <c r="U178" s="411"/>
      <c r="V178" s="411"/>
      <c r="W178" s="411"/>
      <c r="X178" s="411"/>
      <c r="Y178" s="411"/>
      <c r="Z178" s="411"/>
      <c r="AA178" s="411"/>
      <c r="AB178" s="411"/>
      <c r="AC178" s="411"/>
      <c r="AD178" s="411"/>
      <c r="AE178" s="411"/>
      <c r="AF178" s="411"/>
      <c r="AG178" s="411"/>
    </row>
    <row r="179" ht="14.25" customHeight="1">
      <c r="O179" s="411"/>
      <c r="P179" s="411"/>
      <c r="Q179" s="411"/>
      <c r="R179" s="411"/>
      <c r="S179" s="411"/>
      <c r="T179" s="411"/>
      <c r="U179" s="411"/>
      <c r="V179" s="411"/>
      <c r="W179" s="411"/>
      <c r="X179" s="411"/>
      <c r="Y179" s="411"/>
      <c r="Z179" s="411"/>
      <c r="AA179" s="411"/>
      <c r="AB179" s="411"/>
      <c r="AC179" s="411"/>
      <c r="AD179" s="411"/>
      <c r="AE179" s="411"/>
      <c r="AF179" s="411"/>
      <c r="AG179" s="411"/>
    </row>
    <row r="180" ht="14.25" customHeight="1">
      <c r="O180" s="411"/>
      <c r="P180" s="411"/>
      <c r="Q180" s="411"/>
      <c r="R180" s="411"/>
      <c r="S180" s="411"/>
      <c r="T180" s="411"/>
      <c r="U180" s="411"/>
      <c r="V180" s="411"/>
      <c r="W180" s="411"/>
      <c r="X180" s="411"/>
      <c r="Y180" s="411"/>
      <c r="Z180" s="411"/>
      <c r="AA180" s="411"/>
      <c r="AB180" s="411"/>
      <c r="AC180" s="411"/>
      <c r="AD180" s="411"/>
      <c r="AE180" s="411"/>
      <c r="AF180" s="411"/>
      <c r="AG180" s="411"/>
    </row>
    <row r="181" ht="14.25" customHeight="1">
      <c r="O181" s="411"/>
      <c r="P181" s="411"/>
      <c r="Q181" s="411"/>
      <c r="R181" s="411"/>
      <c r="S181" s="411"/>
      <c r="T181" s="411"/>
      <c r="U181" s="411"/>
      <c r="V181" s="411"/>
      <c r="W181" s="411"/>
      <c r="X181" s="411"/>
      <c r="Y181" s="411"/>
      <c r="Z181" s="411"/>
      <c r="AA181" s="411"/>
      <c r="AB181" s="411"/>
      <c r="AC181" s="411"/>
      <c r="AD181" s="411"/>
      <c r="AE181" s="411"/>
      <c r="AF181" s="411"/>
      <c r="AG181" s="411"/>
    </row>
    <row r="182" ht="14.25" customHeight="1">
      <c r="O182" s="411"/>
      <c r="P182" s="411"/>
      <c r="Q182" s="411"/>
      <c r="R182" s="411"/>
      <c r="S182" s="411"/>
      <c r="T182" s="411"/>
      <c r="U182" s="411"/>
      <c r="V182" s="411"/>
      <c r="W182" s="411"/>
      <c r="X182" s="411"/>
      <c r="Y182" s="411"/>
      <c r="Z182" s="411"/>
      <c r="AA182" s="411"/>
      <c r="AB182" s="411"/>
      <c r="AC182" s="411"/>
      <c r="AD182" s="411"/>
      <c r="AE182" s="411"/>
      <c r="AF182" s="411"/>
      <c r="AG182" s="411"/>
    </row>
    <row r="183" ht="14.25" customHeight="1">
      <c r="O183" s="411"/>
      <c r="P183" s="411"/>
      <c r="Q183" s="411"/>
      <c r="R183" s="411"/>
      <c r="S183" s="411"/>
      <c r="T183" s="411"/>
      <c r="U183" s="411"/>
      <c r="V183" s="411"/>
      <c r="W183" s="411"/>
      <c r="X183" s="411"/>
      <c r="Y183" s="411"/>
      <c r="Z183" s="411"/>
      <c r="AA183" s="411"/>
      <c r="AB183" s="411"/>
      <c r="AC183" s="411"/>
      <c r="AD183" s="411"/>
      <c r="AE183" s="411"/>
      <c r="AF183" s="411"/>
      <c r="AG183" s="411"/>
    </row>
    <row r="184" ht="14.25" customHeight="1">
      <c r="O184" s="411"/>
      <c r="P184" s="411"/>
      <c r="Q184" s="411"/>
      <c r="R184" s="411"/>
      <c r="S184" s="411"/>
      <c r="T184" s="411"/>
      <c r="U184" s="411"/>
      <c r="V184" s="411"/>
      <c r="W184" s="411"/>
      <c r="X184" s="411"/>
      <c r="Y184" s="411"/>
      <c r="Z184" s="411"/>
      <c r="AA184" s="411"/>
      <c r="AB184" s="411"/>
      <c r="AC184" s="411"/>
      <c r="AD184" s="411"/>
      <c r="AE184" s="411"/>
      <c r="AF184" s="411"/>
      <c r="AG184" s="411"/>
    </row>
    <row r="185" ht="14.25" customHeight="1">
      <c r="O185" s="411"/>
      <c r="P185" s="411"/>
      <c r="Q185" s="411"/>
      <c r="R185" s="411"/>
      <c r="S185" s="411"/>
      <c r="T185" s="411"/>
      <c r="U185" s="411"/>
      <c r="V185" s="411"/>
      <c r="W185" s="411"/>
      <c r="X185" s="411"/>
      <c r="Y185" s="411"/>
      <c r="Z185" s="411"/>
      <c r="AA185" s="411"/>
      <c r="AB185" s="411"/>
      <c r="AC185" s="411"/>
      <c r="AD185" s="411"/>
      <c r="AE185" s="411"/>
      <c r="AF185" s="411"/>
      <c r="AG185" s="411"/>
    </row>
    <row r="186" ht="14.25" customHeight="1">
      <c r="O186" s="411"/>
      <c r="P186" s="411"/>
      <c r="Q186" s="411"/>
      <c r="R186" s="411"/>
      <c r="S186" s="411"/>
      <c r="T186" s="411"/>
      <c r="U186" s="411"/>
      <c r="V186" s="411"/>
      <c r="W186" s="411"/>
      <c r="X186" s="411"/>
      <c r="Y186" s="411"/>
      <c r="Z186" s="411"/>
      <c r="AA186" s="411"/>
      <c r="AB186" s="411"/>
      <c r="AC186" s="411"/>
      <c r="AD186" s="411"/>
      <c r="AE186" s="411"/>
      <c r="AF186" s="411"/>
      <c r="AG186" s="411"/>
    </row>
    <row r="187" ht="14.25" customHeight="1">
      <c r="O187" s="411"/>
      <c r="P187" s="411"/>
      <c r="Q187" s="411"/>
      <c r="R187" s="411"/>
      <c r="S187" s="411"/>
      <c r="T187" s="411"/>
      <c r="U187" s="411"/>
      <c r="V187" s="411"/>
      <c r="W187" s="411"/>
      <c r="X187" s="411"/>
      <c r="Y187" s="411"/>
      <c r="Z187" s="411"/>
      <c r="AA187" s="411"/>
      <c r="AB187" s="411"/>
      <c r="AC187" s="411"/>
      <c r="AD187" s="411"/>
      <c r="AE187" s="411"/>
      <c r="AF187" s="411"/>
      <c r="AG187" s="411"/>
    </row>
    <row r="188" ht="14.25" customHeight="1">
      <c r="O188" s="411"/>
      <c r="P188" s="411"/>
      <c r="Q188" s="411"/>
      <c r="R188" s="411"/>
      <c r="S188" s="411"/>
      <c r="T188" s="411"/>
      <c r="U188" s="411"/>
      <c r="V188" s="411"/>
      <c r="W188" s="411"/>
      <c r="X188" s="411"/>
      <c r="Y188" s="411"/>
      <c r="Z188" s="411"/>
      <c r="AA188" s="411"/>
      <c r="AB188" s="411"/>
      <c r="AC188" s="411"/>
      <c r="AD188" s="411"/>
      <c r="AE188" s="411"/>
      <c r="AF188" s="411"/>
      <c r="AG188" s="411"/>
    </row>
    <row r="189" ht="14.25" customHeight="1">
      <c r="O189" s="411"/>
      <c r="P189" s="411"/>
      <c r="Q189" s="411"/>
      <c r="R189" s="411"/>
      <c r="S189" s="411"/>
      <c r="T189" s="411"/>
      <c r="U189" s="411"/>
      <c r="V189" s="411"/>
      <c r="W189" s="411"/>
      <c r="X189" s="411"/>
      <c r="Y189" s="411"/>
      <c r="Z189" s="411"/>
      <c r="AA189" s="411"/>
      <c r="AB189" s="411"/>
      <c r="AC189" s="411"/>
      <c r="AD189" s="411"/>
      <c r="AE189" s="411"/>
      <c r="AF189" s="411"/>
      <c r="AG189" s="411"/>
    </row>
    <row r="190" ht="14.25" customHeight="1">
      <c r="O190" s="411"/>
      <c r="P190" s="411"/>
      <c r="Q190" s="411"/>
      <c r="R190" s="411"/>
      <c r="S190" s="411"/>
      <c r="T190" s="411"/>
      <c r="U190" s="411"/>
      <c r="V190" s="411"/>
      <c r="W190" s="411"/>
      <c r="X190" s="411"/>
      <c r="Y190" s="411"/>
      <c r="Z190" s="411"/>
      <c r="AA190" s="411"/>
      <c r="AB190" s="411"/>
      <c r="AC190" s="411"/>
      <c r="AD190" s="411"/>
      <c r="AE190" s="411"/>
      <c r="AF190" s="411"/>
      <c r="AG190" s="411"/>
    </row>
    <row r="191" ht="14.25" customHeight="1">
      <c r="O191" s="411"/>
      <c r="P191" s="411"/>
      <c r="Q191" s="411"/>
      <c r="R191" s="411"/>
      <c r="S191" s="411"/>
      <c r="T191" s="411"/>
      <c r="U191" s="411"/>
      <c r="V191" s="411"/>
      <c r="W191" s="411"/>
      <c r="X191" s="411"/>
      <c r="Y191" s="411"/>
      <c r="Z191" s="411"/>
      <c r="AA191" s="411"/>
      <c r="AB191" s="411"/>
      <c r="AC191" s="411"/>
      <c r="AD191" s="411"/>
      <c r="AE191" s="411"/>
      <c r="AF191" s="411"/>
      <c r="AG191" s="411"/>
    </row>
    <row r="192" ht="14.25" customHeight="1">
      <c r="O192" s="411"/>
      <c r="P192" s="411"/>
      <c r="Q192" s="411"/>
      <c r="R192" s="411"/>
      <c r="S192" s="411"/>
      <c r="T192" s="411"/>
      <c r="U192" s="411"/>
      <c r="V192" s="411"/>
      <c r="W192" s="411"/>
      <c r="X192" s="411"/>
      <c r="Y192" s="411"/>
      <c r="Z192" s="411"/>
      <c r="AA192" s="411"/>
      <c r="AB192" s="411"/>
      <c r="AC192" s="411"/>
      <c r="AD192" s="411"/>
      <c r="AE192" s="411"/>
      <c r="AF192" s="411"/>
      <c r="AG192" s="411"/>
    </row>
    <row r="193" ht="14.25" customHeight="1">
      <c r="O193" s="411"/>
      <c r="P193" s="411"/>
      <c r="Q193" s="411"/>
      <c r="R193" s="411"/>
      <c r="S193" s="411"/>
      <c r="T193" s="411"/>
      <c r="U193" s="411"/>
      <c r="V193" s="411"/>
      <c r="W193" s="411"/>
      <c r="X193" s="411"/>
      <c r="Y193" s="411"/>
      <c r="Z193" s="411"/>
      <c r="AA193" s="411"/>
      <c r="AB193" s="411"/>
      <c r="AC193" s="411"/>
      <c r="AD193" s="411"/>
      <c r="AE193" s="411"/>
      <c r="AF193" s="411"/>
      <c r="AG193" s="411"/>
    </row>
    <row r="194" ht="14.25" customHeight="1">
      <c r="O194" s="411"/>
      <c r="P194" s="411"/>
      <c r="Q194" s="411"/>
      <c r="R194" s="411"/>
      <c r="S194" s="411"/>
      <c r="T194" s="411"/>
      <c r="U194" s="411"/>
      <c r="V194" s="411"/>
      <c r="W194" s="411"/>
      <c r="X194" s="411"/>
      <c r="Y194" s="411"/>
      <c r="Z194" s="411"/>
      <c r="AA194" s="411"/>
      <c r="AB194" s="411"/>
      <c r="AC194" s="411"/>
      <c r="AD194" s="411"/>
      <c r="AE194" s="411"/>
      <c r="AF194" s="411"/>
      <c r="AG194" s="411"/>
    </row>
    <row r="195" ht="14.25" customHeight="1">
      <c r="O195" s="411"/>
      <c r="P195" s="411"/>
      <c r="Q195" s="411"/>
      <c r="R195" s="411"/>
      <c r="S195" s="411"/>
      <c r="T195" s="411"/>
      <c r="U195" s="411"/>
      <c r="V195" s="411"/>
      <c r="W195" s="411"/>
      <c r="X195" s="411"/>
      <c r="Y195" s="411"/>
      <c r="Z195" s="411"/>
      <c r="AA195" s="411"/>
      <c r="AB195" s="411"/>
      <c r="AC195" s="411"/>
      <c r="AD195" s="411"/>
      <c r="AE195" s="411"/>
      <c r="AF195" s="411"/>
      <c r="AG195" s="411"/>
    </row>
    <row r="196" ht="14.25" customHeight="1">
      <c r="O196" s="411"/>
      <c r="P196" s="411"/>
      <c r="Q196" s="411"/>
      <c r="R196" s="411"/>
      <c r="S196" s="411"/>
      <c r="T196" s="411"/>
      <c r="U196" s="411"/>
      <c r="V196" s="411"/>
      <c r="W196" s="411"/>
      <c r="X196" s="411"/>
      <c r="Y196" s="411"/>
      <c r="Z196" s="411"/>
      <c r="AA196" s="411"/>
      <c r="AB196" s="411"/>
      <c r="AC196" s="411"/>
      <c r="AD196" s="411"/>
      <c r="AE196" s="411"/>
      <c r="AF196" s="411"/>
      <c r="AG196" s="411"/>
    </row>
    <row r="197" ht="14.25" customHeight="1">
      <c r="O197" s="411"/>
      <c r="P197" s="411"/>
      <c r="Q197" s="411"/>
      <c r="R197" s="411"/>
      <c r="S197" s="411"/>
      <c r="T197" s="411"/>
      <c r="U197" s="411"/>
      <c r="V197" s="411"/>
      <c r="W197" s="411"/>
      <c r="X197" s="411"/>
      <c r="Y197" s="411"/>
      <c r="Z197" s="411"/>
      <c r="AA197" s="411"/>
      <c r="AB197" s="411"/>
      <c r="AC197" s="411"/>
      <c r="AD197" s="411"/>
      <c r="AE197" s="411"/>
      <c r="AF197" s="411"/>
      <c r="AG197" s="411"/>
    </row>
    <row r="198" ht="14.25" customHeight="1">
      <c r="O198" s="411"/>
      <c r="P198" s="411"/>
      <c r="Q198" s="411"/>
      <c r="R198" s="411"/>
      <c r="S198" s="411"/>
      <c r="T198" s="411"/>
      <c r="U198" s="411"/>
      <c r="V198" s="411"/>
      <c r="W198" s="411"/>
      <c r="X198" s="411"/>
      <c r="Y198" s="411"/>
      <c r="Z198" s="411"/>
      <c r="AA198" s="411"/>
      <c r="AB198" s="411"/>
      <c r="AC198" s="411"/>
      <c r="AD198" s="411"/>
      <c r="AE198" s="411"/>
      <c r="AF198" s="411"/>
      <c r="AG198" s="411"/>
    </row>
    <row r="199" ht="14.25" customHeight="1">
      <c r="O199" s="411"/>
      <c r="P199" s="411"/>
      <c r="Q199" s="411"/>
      <c r="R199" s="411"/>
      <c r="S199" s="411"/>
      <c r="T199" s="411"/>
      <c r="U199" s="411"/>
      <c r="V199" s="411"/>
      <c r="W199" s="411"/>
      <c r="X199" s="411"/>
      <c r="Y199" s="411"/>
      <c r="Z199" s="411"/>
      <c r="AA199" s="411"/>
      <c r="AB199" s="411"/>
      <c r="AC199" s="411"/>
      <c r="AD199" s="411"/>
      <c r="AE199" s="411"/>
      <c r="AF199" s="411"/>
      <c r="AG199" s="411"/>
    </row>
    <row r="200" ht="14.25" customHeight="1">
      <c r="O200" s="411"/>
      <c r="P200" s="411"/>
      <c r="Q200" s="411"/>
      <c r="R200" s="411"/>
      <c r="S200" s="411"/>
      <c r="T200" s="411"/>
      <c r="U200" s="411"/>
      <c r="V200" s="411"/>
      <c r="W200" s="411"/>
      <c r="X200" s="411"/>
      <c r="Y200" s="411"/>
      <c r="Z200" s="411"/>
      <c r="AA200" s="411"/>
      <c r="AB200" s="411"/>
      <c r="AC200" s="411"/>
      <c r="AD200" s="411"/>
      <c r="AE200" s="411"/>
      <c r="AF200" s="411"/>
      <c r="AG200" s="411"/>
    </row>
    <row r="201" ht="14.25" customHeight="1">
      <c r="O201" s="411"/>
      <c r="P201" s="411"/>
      <c r="Q201" s="411"/>
      <c r="R201" s="411"/>
      <c r="S201" s="411"/>
      <c r="T201" s="411"/>
      <c r="U201" s="411"/>
      <c r="V201" s="411"/>
      <c r="W201" s="411"/>
      <c r="X201" s="411"/>
      <c r="Y201" s="411"/>
      <c r="Z201" s="411"/>
      <c r="AA201" s="411"/>
      <c r="AB201" s="411"/>
      <c r="AC201" s="411"/>
      <c r="AD201" s="411"/>
      <c r="AE201" s="411"/>
      <c r="AF201" s="411"/>
      <c r="AG201" s="411"/>
    </row>
    <row r="202" ht="14.25" customHeight="1">
      <c r="O202" s="411"/>
      <c r="P202" s="411"/>
      <c r="Q202" s="411"/>
      <c r="R202" s="411"/>
      <c r="S202" s="411"/>
      <c r="T202" s="411"/>
      <c r="U202" s="411"/>
      <c r="V202" s="411"/>
      <c r="W202" s="411"/>
      <c r="X202" s="411"/>
      <c r="Y202" s="411"/>
      <c r="Z202" s="411"/>
      <c r="AA202" s="411"/>
      <c r="AB202" s="411"/>
      <c r="AC202" s="411"/>
      <c r="AD202" s="411"/>
      <c r="AE202" s="411"/>
      <c r="AF202" s="411"/>
      <c r="AG202" s="411"/>
    </row>
    <row r="203" ht="14.25" customHeight="1">
      <c r="O203" s="411"/>
      <c r="P203" s="411"/>
      <c r="Q203" s="411"/>
      <c r="R203" s="411"/>
      <c r="S203" s="411"/>
      <c r="T203" s="411"/>
      <c r="U203" s="411"/>
      <c r="V203" s="411"/>
      <c r="W203" s="411"/>
      <c r="X203" s="411"/>
      <c r="Y203" s="411"/>
      <c r="Z203" s="411"/>
      <c r="AA203" s="411"/>
      <c r="AB203" s="411"/>
      <c r="AC203" s="411"/>
      <c r="AD203" s="411"/>
      <c r="AE203" s="411"/>
      <c r="AF203" s="411"/>
      <c r="AG203" s="411"/>
    </row>
    <row r="204" ht="14.25" customHeight="1">
      <c r="O204" s="411"/>
      <c r="P204" s="411"/>
      <c r="Q204" s="411"/>
      <c r="R204" s="411"/>
      <c r="S204" s="411"/>
      <c r="T204" s="411"/>
      <c r="U204" s="411"/>
      <c r="V204" s="411"/>
      <c r="W204" s="411"/>
      <c r="X204" s="411"/>
      <c r="Y204" s="411"/>
      <c r="Z204" s="411"/>
      <c r="AA204" s="411"/>
      <c r="AB204" s="411"/>
      <c r="AC204" s="411"/>
      <c r="AD204" s="411"/>
      <c r="AE204" s="411"/>
      <c r="AF204" s="411"/>
      <c r="AG204" s="411"/>
    </row>
    <row r="205" ht="14.25" customHeight="1">
      <c r="O205" s="411"/>
      <c r="P205" s="411"/>
      <c r="Q205" s="411"/>
      <c r="R205" s="411"/>
      <c r="S205" s="411"/>
      <c r="T205" s="411"/>
      <c r="U205" s="411"/>
      <c r="V205" s="411"/>
      <c r="W205" s="411"/>
      <c r="X205" s="411"/>
      <c r="Y205" s="411"/>
      <c r="Z205" s="411"/>
      <c r="AA205" s="411"/>
      <c r="AB205" s="411"/>
      <c r="AC205" s="411"/>
      <c r="AD205" s="411"/>
      <c r="AE205" s="411"/>
      <c r="AF205" s="411"/>
      <c r="AG205" s="411"/>
    </row>
    <row r="206" ht="14.25" customHeight="1">
      <c r="O206" s="411"/>
      <c r="P206" s="411"/>
      <c r="Q206" s="411"/>
      <c r="R206" s="411"/>
      <c r="S206" s="411"/>
      <c r="T206" s="411"/>
      <c r="U206" s="411"/>
      <c r="V206" s="411"/>
      <c r="W206" s="411"/>
      <c r="X206" s="411"/>
      <c r="Y206" s="411"/>
      <c r="Z206" s="411"/>
      <c r="AA206" s="411"/>
      <c r="AB206" s="411"/>
      <c r="AC206" s="411"/>
      <c r="AD206" s="411"/>
      <c r="AE206" s="411"/>
      <c r="AF206" s="411"/>
      <c r="AG206" s="411"/>
    </row>
    <row r="207" ht="14.25" customHeight="1">
      <c r="O207" s="411"/>
      <c r="P207" s="411"/>
      <c r="Q207" s="411"/>
      <c r="R207" s="411"/>
      <c r="S207" s="411"/>
      <c r="T207" s="411"/>
      <c r="U207" s="411"/>
      <c r="V207" s="411"/>
      <c r="W207" s="411"/>
      <c r="X207" s="411"/>
      <c r="Y207" s="411"/>
      <c r="Z207" s="411"/>
      <c r="AA207" s="411"/>
      <c r="AB207" s="411"/>
      <c r="AC207" s="411"/>
      <c r="AD207" s="411"/>
      <c r="AE207" s="411"/>
      <c r="AF207" s="411"/>
      <c r="AG207" s="411"/>
    </row>
    <row r="208" ht="14.25" customHeight="1">
      <c r="O208" s="411"/>
      <c r="P208" s="411"/>
      <c r="Q208" s="411"/>
      <c r="R208" s="411"/>
      <c r="S208" s="411"/>
      <c r="T208" s="411"/>
      <c r="U208" s="411"/>
      <c r="V208" s="411"/>
      <c r="W208" s="411"/>
      <c r="X208" s="411"/>
      <c r="Y208" s="411"/>
      <c r="Z208" s="411"/>
      <c r="AA208" s="411"/>
      <c r="AB208" s="411"/>
      <c r="AC208" s="411"/>
      <c r="AD208" s="411"/>
      <c r="AE208" s="411"/>
      <c r="AF208" s="411"/>
      <c r="AG208" s="411"/>
    </row>
    <row r="209" ht="14.25" customHeight="1">
      <c r="O209" s="411"/>
      <c r="P209" s="411"/>
      <c r="Q209" s="411"/>
      <c r="R209" s="411"/>
      <c r="S209" s="411"/>
      <c r="T209" s="411"/>
      <c r="U209" s="411"/>
      <c r="V209" s="411"/>
      <c r="W209" s="411"/>
      <c r="X209" s="411"/>
      <c r="Y209" s="411"/>
      <c r="Z209" s="411"/>
      <c r="AA209" s="411"/>
      <c r="AB209" s="411"/>
      <c r="AC209" s="411"/>
      <c r="AD209" s="411"/>
      <c r="AE209" s="411"/>
      <c r="AF209" s="411"/>
      <c r="AG209" s="411"/>
    </row>
    <row r="210" ht="14.25" customHeight="1">
      <c r="O210" s="411"/>
      <c r="P210" s="411"/>
      <c r="Q210" s="411"/>
      <c r="R210" s="411"/>
      <c r="S210" s="411"/>
      <c r="T210" s="411"/>
      <c r="U210" s="411"/>
      <c r="V210" s="411"/>
      <c r="W210" s="411"/>
      <c r="X210" s="411"/>
      <c r="Y210" s="411"/>
      <c r="Z210" s="411"/>
      <c r="AA210" s="411"/>
      <c r="AB210" s="411"/>
      <c r="AC210" s="411"/>
      <c r="AD210" s="411"/>
      <c r="AE210" s="411"/>
      <c r="AF210" s="411"/>
      <c r="AG210" s="411"/>
    </row>
    <row r="211" ht="14.25" customHeight="1">
      <c r="O211" s="411"/>
      <c r="P211" s="411"/>
      <c r="Q211" s="411"/>
      <c r="R211" s="411"/>
      <c r="S211" s="411"/>
      <c r="T211" s="411"/>
      <c r="U211" s="411"/>
      <c r="V211" s="411"/>
      <c r="W211" s="411"/>
      <c r="X211" s="411"/>
      <c r="Y211" s="411"/>
      <c r="Z211" s="411"/>
      <c r="AA211" s="411"/>
      <c r="AB211" s="411"/>
      <c r="AC211" s="411"/>
      <c r="AD211" s="411"/>
      <c r="AE211" s="411"/>
      <c r="AF211" s="411"/>
      <c r="AG211" s="411"/>
    </row>
    <row r="212" ht="14.25" customHeight="1">
      <c r="O212" s="411"/>
      <c r="P212" s="411"/>
      <c r="Q212" s="411"/>
      <c r="R212" s="411"/>
      <c r="S212" s="411"/>
      <c r="T212" s="411"/>
      <c r="U212" s="411"/>
      <c r="V212" s="411"/>
      <c r="W212" s="411"/>
      <c r="X212" s="411"/>
      <c r="Y212" s="411"/>
      <c r="Z212" s="411"/>
      <c r="AA212" s="411"/>
      <c r="AB212" s="411"/>
      <c r="AC212" s="411"/>
      <c r="AD212" s="411"/>
      <c r="AE212" s="411"/>
      <c r="AF212" s="411"/>
      <c r="AG212" s="411"/>
    </row>
    <row r="213" ht="14.25" customHeight="1">
      <c r="O213" s="411"/>
      <c r="P213" s="411"/>
      <c r="Q213" s="411"/>
      <c r="R213" s="411"/>
      <c r="S213" s="411"/>
      <c r="T213" s="411"/>
      <c r="U213" s="411"/>
      <c r="V213" s="411"/>
      <c r="W213" s="411"/>
      <c r="X213" s="411"/>
      <c r="Y213" s="411"/>
      <c r="Z213" s="411"/>
      <c r="AA213" s="411"/>
      <c r="AB213" s="411"/>
      <c r="AC213" s="411"/>
      <c r="AD213" s="411"/>
      <c r="AE213" s="411"/>
      <c r="AF213" s="411"/>
      <c r="AG213" s="411"/>
    </row>
    <row r="214" ht="14.25" customHeight="1">
      <c r="O214" s="411"/>
      <c r="P214" s="411"/>
      <c r="Q214" s="411"/>
      <c r="R214" s="411"/>
      <c r="S214" s="411"/>
      <c r="T214" s="411"/>
      <c r="U214" s="411"/>
      <c r="V214" s="411"/>
      <c r="W214" s="411"/>
      <c r="X214" s="411"/>
      <c r="Y214" s="411"/>
      <c r="Z214" s="411"/>
      <c r="AA214" s="411"/>
      <c r="AB214" s="411"/>
      <c r="AC214" s="411"/>
      <c r="AD214" s="411"/>
      <c r="AE214" s="411"/>
      <c r="AF214" s="411"/>
      <c r="AG214" s="411"/>
    </row>
    <row r="215" ht="14.25" customHeight="1">
      <c r="O215" s="411"/>
      <c r="P215" s="411"/>
      <c r="Q215" s="411"/>
      <c r="R215" s="411"/>
      <c r="S215" s="411"/>
      <c r="T215" s="411"/>
      <c r="U215" s="411"/>
      <c r="V215" s="411"/>
      <c r="W215" s="411"/>
      <c r="X215" s="411"/>
      <c r="Y215" s="411"/>
      <c r="Z215" s="411"/>
      <c r="AA215" s="411"/>
      <c r="AB215" s="411"/>
      <c r="AC215" s="411"/>
      <c r="AD215" s="411"/>
      <c r="AE215" s="411"/>
      <c r="AF215" s="411"/>
      <c r="AG215" s="411"/>
    </row>
    <row r="216" ht="14.25" customHeight="1">
      <c r="O216" s="411"/>
      <c r="P216" s="411"/>
      <c r="Q216" s="411"/>
      <c r="R216" s="411"/>
      <c r="S216" s="411"/>
      <c r="T216" s="411"/>
      <c r="U216" s="411"/>
      <c r="V216" s="411"/>
      <c r="W216" s="411"/>
      <c r="X216" s="411"/>
      <c r="Y216" s="411"/>
      <c r="Z216" s="411"/>
      <c r="AA216" s="411"/>
      <c r="AB216" s="411"/>
      <c r="AC216" s="411"/>
      <c r="AD216" s="411"/>
      <c r="AE216" s="411"/>
      <c r="AF216" s="411"/>
      <c r="AG216" s="411"/>
    </row>
    <row r="217" ht="14.25" customHeight="1">
      <c r="O217" s="411"/>
      <c r="P217" s="411"/>
      <c r="Q217" s="411"/>
      <c r="R217" s="411"/>
      <c r="S217" s="411"/>
      <c r="T217" s="411"/>
      <c r="U217" s="411"/>
      <c r="V217" s="411"/>
      <c r="W217" s="411"/>
      <c r="X217" s="411"/>
      <c r="Y217" s="411"/>
      <c r="Z217" s="411"/>
      <c r="AA217" s="411"/>
      <c r="AB217" s="411"/>
      <c r="AC217" s="411"/>
      <c r="AD217" s="411"/>
      <c r="AE217" s="411"/>
      <c r="AF217" s="411"/>
      <c r="AG217" s="411"/>
    </row>
    <row r="218" ht="14.25" customHeight="1">
      <c r="O218" s="411"/>
      <c r="P218" s="411"/>
      <c r="Q218" s="411"/>
      <c r="R218" s="411"/>
      <c r="S218" s="411"/>
      <c r="T218" s="411"/>
      <c r="U218" s="411"/>
      <c r="V218" s="411"/>
      <c r="W218" s="411"/>
      <c r="X218" s="411"/>
      <c r="Y218" s="411"/>
      <c r="Z218" s="411"/>
      <c r="AA218" s="411"/>
      <c r="AB218" s="411"/>
      <c r="AC218" s="411"/>
      <c r="AD218" s="411"/>
      <c r="AE218" s="411"/>
      <c r="AF218" s="411"/>
      <c r="AG218" s="411"/>
    </row>
    <row r="219" ht="14.25" customHeight="1">
      <c r="O219" s="411"/>
      <c r="P219" s="411"/>
      <c r="Q219" s="411"/>
      <c r="R219" s="411"/>
      <c r="S219" s="411"/>
      <c r="T219" s="411"/>
      <c r="U219" s="411"/>
      <c r="V219" s="411"/>
      <c r="W219" s="411"/>
      <c r="X219" s="411"/>
      <c r="Y219" s="411"/>
      <c r="Z219" s="411"/>
      <c r="AA219" s="411"/>
      <c r="AB219" s="411"/>
      <c r="AC219" s="411"/>
      <c r="AD219" s="411"/>
      <c r="AE219" s="411"/>
      <c r="AF219" s="411"/>
      <c r="AG219" s="411"/>
    </row>
    <row r="220" ht="14.25" customHeight="1">
      <c r="O220" s="411"/>
      <c r="P220" s="411"/>
      <c r="Q220" s="411"/>
      <c r="R220" s="411"/>
      <c r="S220" s="411"/>
      <c r="T220" s="411"/>
      <c r="U220" s="411"/>
      <c r="V220" s="411"/>
      <c r="W220" s="411"/>
      <c r="X220" s="411"/>
      <c r="Y220" s="411"/>
      <c r="Z220" s="411"/>
      <c r="AA220" s="411"/>
      <c r="AB220" s="411"/>
      <c r="AC220" s="411"/>
      <c r="AD220" s="411"/>
      <c r="AE220" s="411"/>
      <c r="AF220" s="411"/>
      <c r="AG220" s="411"/>
    </row>
    <row r="221" ht="14.25" customHeight="1">
      <c r="O221" s="411"/>
      <c r="P221" s="411"/>
      <c r="Q221" s="411"/>
      <c r="R221" s="411"/>
      <c r="S221" s="411"/>
      <c r="T221" s="411"/>
      <c r="U221" s="411"/>
      <c r="V221" s="411"/>
      <c r="W221" s="411"/>
      <c r="X221" s="411"/>
      <c r="Y221" s="411"/>
      <c r="Z221" s="411"/>
      <c r="AA221" s="411"/>
      <c r="AB221" s="411"/>
      <c r="AC221" s="411"/>
      <c r="AD221" s="411"/>
      <c r="AE221" s="411"/>
      <c r="AF221" s="411"/>
      <c r="AG221" s="411"/>
    </row>
    <row r="222" ht="14.25" customHeight="1">
      <c r="O222" s="411"/>
      <c r="P222" s="411"/>
      <c r="Q222" s="411"/>
      <c r="R222" s="411"/>
      <c r="S222" s="411"/>
      <c r="T222" s="411"/>
      <c r="U222" s="411"/>
      <c r="V222" s="411"/>
      <c r="W222" s="411"/>
      <c r="X222" s="411"/>
      <c r="Y222" s="411"/>
      <c r="Z222" s="411"/>
      <c r="AA222" s="411"/>
      <c r="AB222" s="411"/>
      <c r="AC222" s="411"/>
      <c r="AD222" s="411"/>
      <c r="AE222" s="411"/>
      <c r="AF222" s="411"/>
      <c r="AG222" s="411"/>
    </row>
    <row r="223" ht="14.25" customHeight="1">
      <c r="O223" s="411"/>
      <c r="P223" s="411"/>
      <c r="Q223" s="411"/>
      <c r="R223" s="411"/>
      <c r="S223" s="411"/>
      <c r="T223" s="411"/>
      <c r="U223" s="411"/>
      <c r="V223" s="411"/>
      <c r="W223" s="411"/>
      <c r="X223" s="411"/>
      <c r="Y223" s="411"/>
      <c r="Z223" s="411"/>
      <c r="AA223" s="411"/>
      <c r="AB223" s="411"/>
      <c r="AC223" s="411"/>
      <c r="AD223" s="411"/>
      <c r="AE223" s="411"/>
      <c r="AF223" s="411"/>
      <c r="AG223" s="411"/>
    </row>
    <row r="224" ht="14.25" customHeight="1">
      <c r="O224" s="411"/>
      <c r="P224" s="411"/>
      <c r="Q224" s="411"/>
      <c r="R224" s="411"/>
      <c r="S224" s="411"/>
      <c r="T224" s="411"/>
      <c r="U224" s="411"/>
      <c r="V224" s="411"/>
      <c r="W224" s="411"/>
      <c r="X224" s="411"/>
      <c r="Y224" s="411"/>
      <c r="Z224" s="411"/>
      <c r="AA224" s="411"/>
      <c r="AB224" s="411"/>
      <c r="AC224" s="411"/>
      <c r="AD224" s="411"/>
      <c r="AE224" s="411"/>
      <c r="AF224" s="411"/>
      <c r="AG224" s="411"/>
    </row>
    <row r="225" ht="14.25" customHeight="1">
      <c r="O225" s="411"/>
      <c r="P225" s="411"/>
      <c r="Q225" s="411"/>
      <c r="R225" s="411"/>
      <c r="S225" s="411"/>
      <c r="T225" s="411"/>
      <c r="U225" s="411"/>
      <c r="V225" s="411"/>
      <c r="W225" s="411"/>
      <c r="X225" s="411"/>
      <c r="Y225" s="411"/>
      <c r="Z225" s="411"/>
      <c r="AA225" s="411"/>
      <c r="AB225" s="411"/>
      <c r="AC225" s="411"/>
      <c r="AD225" s="411"/>
      <c r="AE225" s="411"/>
      <c r="AF225" s="411"/>
      <c r="AG225" s="411"/>
    </row>
    <row r="226" ht="14.25" customHeight="1">
      <c r="O226" s="411"/>
      <c r="P226" s="411"/>
      <c r="Q226" s="411"/>
      <c r="R226" s="411"/>
      <c r="S226" s="411"/>
      <c r="T226" s="411"/>
      <c r="U226" s="411"/>
      <c r="V226" s="411"/>
      <c r="W226" s="411"/>
      <c r="X226" s="411"/>
      <c r="Y226" s="411"/>
      <c r="Z226" s="411"/>
      <c r="AA226" s="411"/>
      <c r="AB226" s="411"/>
      <c r="AC226" s="411"/>
      <c r="AD226" s="411"/>
      <c r="AE226" s="411"/>
      <c r="AF226" s="411"/>
      <c r="AG226" s="411"/>
    </row>
    <row r="227" ht="14.25" customHeight="1">
      <c r="O227" s="411"/>
      <c r="P227" s="411"/>
      <c r="Q227" s="411"/>
      <c r="R227" s="411"/>
      <c r="S227" s="411"/>
      <c r="T227" s="411"/>
      <c r="U227" s="411"/>
      <c r="V227" s="411"/>
      <c r="W227" s="411"/>
      <c r="X227" s="411"/>
      <c r="Y227" s="411"/>
      <c r="Z227" s="411"/>
      <c r="AA227" s="411"/>
      <c r="AB227" s="411"/>
      <c r="AC227" s="411"/>
      <c r="AD227" s="411"/>
      <c r="AE227" s="411"/>
      <c r="AF227" s="411"/>
      <c r="AG227" s="411"/>
    </row>
    <row r="228" ht="14.25" customHeight="1">
      <c r="O228" s="411"/>
      <c r="P228" s="411"/>
      <c r="Q228" s="411"/>
      <c r="R228" s="411"/>
      <c r="S228" s="411"/>
      <c r="T228" s="411"/>
      <c r="U228" s="411"/>
      <c r="V228" s="411"/>
      <c r="W228" s="411"/>
      <c r="X228" s="411"/>
      <c r="Y228" s="411"/>
      <c r="Z228" s="411"/>
      <c r="AA228" s="411"/>
      <c r="AB228" s="411"/>
      <c r="AC228" s="411"/>
      <c r="AD228" s="411"/>
      <c r="AE228" s="411"/>
      <c r="AF228" s="411"/>
      <c r="AG228" s="411"/>
    </row>
    <row r="229" ht="14.25" customHeight="1">
      <c r="O229" s="411"/>
      <c r="P229" s="411"/>
      <c r="Q229" s="411"/>
      <c r="R229" s="411"/>
      <c r="S229" s="411"/>
      <c r="T229" s="411"/>
      <c r="U229" s="411"/>
      <c r="V229" s="411"/>
      <c r="W229" s="411"/>
      <c r="X229" s="411"/>
      <c r="Y229" s="411"/>
      <c r="Z229" s="411"/>
      <c r="AA229" s="411"/>
      <c r="AB229" s="411"/>
      <c r="AC229" s="411"/>
      <c r="AD229" s="411"/>
      <c r="AE229" s="411"/>
      <c r="AF229" s="411"/>
      <c r="AG229" s="411"/>
    </row>
    <row r="230" ht="14.25" customHeight="1">
      <c r="O230" s="411"/>
      <c r="P230" s="411"/>
      <c r="Q230" s="411"/>
      <c r="R230" s="411"/>
      <c r="S230" s="411"/>
      <c r="T230" s="411"/>
      <c r="U230" s="411"/>
      <c r="V230" s="411"/>
      <c r="W230" s="411"/>
      <c r="X230" s="411"/>
      <c r="Y230" s="411"/>
      <c r="Z230" s="411"/>
      <c r="AA230" s="411"/>
      <c r="AB230" s="411"/>
      <c r="AC230" s="411"/>
      <c r="AD230" s="411"/>
      <c r="AE230" s="411"/>
      <c r="AF230" s="411"/>
      <c r="AG230" s="411"/>
    </row>
    <row r="231" ht="14.25" customHeight="1">
      <c r="O231" s="411"/>
      <c r="P231" s="411"/>
      <c r="Q231" s="411"/>
      <c r="R231" s="411"/>
      <c r="S231" s="411"/>
      <c r="T231" s="411"/>
      <c r="U231" s="411"/>
      <c r="V231" s="411"/>
      <c r="W231" s="411"/>
      <c r="X231" s="411"/>
      <c r="Y231" s="411"/>
      <c r="Z231" s="411"/>
      <c r="AA231" s="411"/>
      <c r="AB231" s="411"/>
      <c r="AC231" s="411"/>
      <c r="AD231" s="411"/>
      <c r="AE231" s="411"/>
      <c r="AF231" s="411"/>
      <c r="AG231" s="411"/>
    </row>
    <row r="232" ht="14.25" customHeight="1">
      <c r="O232" s="411"/>
      <c r="P232" s="411"/>
      <c r="Q232" s="411"/>
      <c r="R232" s="411"/>
      <c r="S232" s="411"/>
      <c r="T232" s="411"/>
      <c r="U232" s="411"/>
      <c r="V232" s="411"/>
      <c r="W232" s="411"/>
      <c r="X232" s="411"/>
      <c r="Y232" s="411"/>
      <c r="Z232" s="411"/>
      <c r="AA232" s="411"/>
      <c r="AB232" s="411"/>
      <c r="AC232" s="411"/>
      <c r="AD232" s="411"/>
      <c r="AE232" s="411"/>
      <c r="AF232" s="411"/>
      <c r="AG232" s="411"/>
    </row>
    <row r="233" ht="14.25" customHeight="1">
      <c r="O233" s="411"/>
      <c r="P233" s="411"/>
      <c r="Q233" s="411"/>
      <c r="R233" s="411"/>
      <c r="S233" s="411"/>
      <c r="T233" s="411"/>
      <c r="U233" s="411"/>
      <c r="V233" s="411"/>
      <c r="W233" s="411"/>
      <c r="X233" s="411"/>
      <c r="Y233" s="411"/>
      <c r="Z233" s="411"/>
      <c r="AA233" s="411"/>
      <c r="AB233" s="411"/>
      <c r="AC233" s="411"/>
      <c r="AD233" s="411"/>
      <c r="AE233" s="411"/>
      <c r="AF233" s="411"/>
      <c r="AG233" s="411"/>
    </row>
    <row r="234" ht="14.25" customHeight="1">
      <c r="O234" s="411"/>
      <c r="P234" s="411"/>
      <c r="Q234" s="411"/>
      <c r="R234" s="411"/>
      <c r="S234" s="411"/>
      <c r="T234" s="411"/>
      <c r="U234" s="411"/>
      <c r="V234" s="411"/>
      <c r="W234" s="411"/>
      <c r="X234" s="411"/>
      <c r="Y234" s="411"/>
      <c r="Z234" s="411"/>
      <c r="AA234" s="411"/>
      <c r="AB234" s="411"/>
      <c r="AC234" s="411"/>
      <c r="AD234" s="411"/>
      <c r="AE234" s="411"/>
      <c r="AF234" s="411"/>
      <c r="AG234" s="411"/>
    </row>
    <row r="235" ht="14.25" customHeight="1">
      <c r="O235" s="411"/>
      <c r="P235" s="411"/>
      <c r="Q235" s="411"/>
      <c r="R235" s="411"/>
      <c r="S235" s="411"/>
      <c r="T235" s="411"/>
      <c r="U235" s="411"/>
      <c r="V235" s="411"/>
      <c r="W235" s="411"/>
      <c r="X235" s="411"/>
      <c r="Y235" s="411"/>
      <c r="Z235" s="411"/>
      <c r="AA235" s="411"/>
      <c r="AB235" s="411"/>
      <c r="AC235" s="411"/>
      <c r="AD235" s="411"/>
      <c r="AE235" s="411"/>
      <c r="AF235" s="411"/>
      <c r="AG235" s="411"/>
    </row>
    <row r="236" ht="14.25" customHeight="1">
      <c r="O236" s="411"/>
      <c r="P236" s="411"/>
      <c r="Q236" s="411"/>
      <c r="R236" s="411"/>
      <c r="S236" s="411"/>
      <c r="T236" s="411"/>
      <c r="U236" s="411"/>
      <c r="V236" s="411"/>
      <c r="W236" s="411"/>
      <c r="X236" s="411"/>
      <c r="Y236" s="411"/>
      <c r="Z236" s="411"/>
      <c r="AA236" s="411"/>
      <c r="AB236" s="411"/>
      <c r="AC236" s="411"/>
      <c r="AD236" s="411"/>
      <c r="AE236" s="411"/>
      <c r="AF236" s="411"/>
      <c r="AG236" s="411"/>
    </row>
    <row r="237" ht="14.25" customHeight="1">
      <c r="O237" s="411"/>
      <c r="P237" s="411"/>
      <c r="Q237" s="411"/>
      <c r="R237" s="411"/>
      <c r="S237" s="411"/>
      <c r="T237" s="411"/>
      <c r="U237" s="411"/>
      <c r="V237" s="411"/>
      <c r="W237" s="411"/>
      <c r="X237" s="411"/>
      <c r="Y237" s="411"/>
      <c r="Z237" s="411"/>
      <c r="AA237" s="411"/>
      <c r="AB237" s="411"/>
      <c r="AC237" s="411"/>
      <c r="AD237" s="411"/>
      <c r="AE237" s="411"/>
      <c r="AF237" s="411"/>
      <c r="AG237" s="411"/>
    </row>
    <row r="238" ht="14.25" customHeight="1">
      <c r="O238" s="411"/>
      <c r="P238" s="411"/>
      <c r="Q238" s="411"/>
      <c r="R238" s="411"/>
      <c r="S238" s="411"/>
      <c r="T238" s="411"/>
      <c r="U238" s="411"/>
      <c r="V238" s="411"/>
      <c r="W238" s="411"/>
      <c r="X238" s="411"/>
      <c r="Y238" s="411"/>
      <c r="Z238" s="411"/>
      <c r="AA238" s="411"/>
      <c r="AB238" s="411"/>
      <c r="AC238" s="411"/>
      <c r="AD238" s="411"/>
      <c r="AE238" s="411"/>
      <c r="AF238" s="411"/>
      <c r="AG238" s="411"/>
    </row>
    <row r="239" ht="14.25" customHeight="1">
      <c r="O239" s="411"/>
      <c r="P239" s="411"/>
      <c r="Q239" s="411"/>
      <c r="R239" s="411"/>
      <c r="S239" s="411"/>
      <c r="T239" s="411"/>
      <c r="U239" s="411"/>
      <c r="V239" s="411"/>
      <c r="W239" s="411"/>
      <c r="X239" s="411"/>
      <c r="Y239" s="411"/>
      <c r="Z239" s="411"/>
      <c r="AA239" s="411"/>
      <c r="AB239" s="411"/>
      <c r="AC239" s="411"/>
      <c r="AD239" s="411"/>
      <c r="AE239" s="411"/>
      <c r="AF239" s="411"/>
      <c r="AG239" s="411"/>
    </row>
    <row r="240" ht="14.25" customHeight="1">
      <c r="O240" s="411"/>
      <c r="P240" s="411"/>
      <c r="Q240" s="411"/>
      <c r="R240" s="411"/>
      <c r="S240" s="411"/>
      <c r="T240" s="411"/>
      <c r="U240" s="411"/>
      <c r="V240" s="411"/>
      <c r="W240" s="411"/>
      <c r="X240" s="411"/>
      <c r="Y240" s="411"/>
      <c r="Z240" s="411"/>
      <c r="AA240" s="411"/>
      <c r="AB240" s="411"/>
      <c r="AC240" s="411"/>
      <c r="AD240" s="411"/>
      <c r="AE240" s="411"/>
      <c r="AF240" s="411"/>
      <c r="AG240" s="411"/>
    </row>
    <row r="241" ht="14.25" customHeight="1">
      <c r="O241" s="411"/>
      <c r="P241" s="411"/>
      <c r="Q241" s="411"/>
      <c r="R241" s="411"/>
      <c r="S241" s="411"/>
      <c r="T241" s="411"/>
      <c r="U241" s="411"/>
      <c r="V241" s="411"/>
      <c r="W241" s="411"/>
      <c r="X241" s="411"/>
      <c r="Y241" s="411"/>
      <c r="Z241" s="411"/>
      <c r="AA241" s="411"/>
      <c r="AB241" s="411"/>
      <c r="AC241" s="411"/>
      <c r="AD241" s="411"/>
      <c r="AE241" s="411"/>
      <c r="AF241" s="411"/>
      <c r="AG241" s="411"/>
    </row>
    <row r="242" ht="14.25" customHeight="1">
      <c r="O242" s="411"/>
      <c r="P242" s="411"/>
      <c r="Q242" s="411"/>
      <c r="R242" s="411"/>
      <c r="S242" s="411"/>
      <c r="T242" s="411"/>
      <c r="U242" s="411"/>
      <c r="V242" s="411"/>
      <c r="W242" s="411"/>
      <c r="X242" s="411"/>
      <c r="Y242" s="411"/>
      <c r="Z242" s="411"/>
      <c r="AA242" s="411"/>
      <c r="AB242" s="411"/>
      <c r="AC242" s="411"/>
      <c r="AD242" s="411"/>
      <c r="AE242" s="411"/>
      <c r="AF242" s="411"/>
      <c r="AG242" s="411"/>
    </row>
    <row r="243" ht="14.25" customHeight="1">
      <c r="O243" s="411"/>
      <c r="P243" s="411"/>
      <c r="Q243" s="411"/>
      <c r="R243" s="411"/>
      <c r="S243" s="411"/>
      <c r="T243" s="411"/>
      <c r="U243" s="411"/>
      <c r="V243" s="411"/>
      <c r="W243" s="411"/>
      <c r="X243" s="411"/>
      <c r="Y243" s="411"/>
      <c r="Z243" s="411"/>
      <c r="AA243" s="411"/>
      <c r="AB243" s="411"/>
      <c r="AC243" s="411"/>
      <c r="AD243" s="411"/>
      <c r="AE243" s="411"/>
      <c r="AF243" s="411"/>
      <c r="AG243" s="411"/>
    </row>
    <row r="244" ht="14.25" customHeight="1">
      <c r="O244" s="411"/>
      <c r="P244" s="411"/>
      <c r="Q244" s="411"/>
      <c r="R244" s="411"/>
      <c r="S244" s="411"/>
      <c r="T244" s="411"/>
      <c r="U244" s="411"/>
      <c r="V244" s="411"/>
      <c r="W244" s="411"/>
      <c r="X244" s="411"/>
      <c r="Y244" s="411"/>
      <c r="Z244" s="411"/>
      <c r="AA244" s="411"/>
      <c r="AB244" s="411"/>
      <c r="AC244" s="411"/>
      <c r="AD244" s="411"/>
      <c r="AE244" s="411"/>
      <c r="AF244" s="411"/>
      <c r="AG244" s="411"/>
    </row>
    <row r="245" ht="14.25" customHeight="1">
      <c r="O245" s="411"/>
      <c r="P245" s="411"/>
      <c r="Q245" s="411"/>
      <c r="R245" s="411"/>
      <c r="S245" s="411"/>
      <c r="T245" s="411"/>
      <c r="U245" s="411"/>
      <c r="V245" s="411"/>
      <c r="W245" s="411"/>
      <c r="X245" s="411"/>
      <c r="Y245" s="411"/>
      <c r="Z245" s="411"/>
      <c r="AA245" s="411"/>
      <c r="AB245" s="411"/>
      <c r="AC245" s="411"/>
      <c r="AD245" s="411"/>
      <c r="AE245" s="411"/>
      <c r="AF245" s="411"/>
      <c r="AG245" s="411"/>
    </row>
    <row r="246" ht="14.25" customHeight="1">
      <c r="O246" s="411"/>
      <c r="P246" s="411"/>
      <c r="Q246" s="411"/>
      <c r="R246" s="411"/>
      <c r="S246" s="411"/>
      <c r="T246" s="411"/>
      <c r="U246" s="411"/>
      <c r="V246" s="411"/>
      <c r="W246" s="411"/>
      <c r="X246" s="411"/>
      <c r="Y246" s="411"/>
      <c r="Z246" s="411"/>
      <c r="AA246" s="411"/>
      <c r="AB246" s="411"/>
      <c r="AC246" s="411"/>
      <c r="AD246" s="411"/>
      <c r="AE246" s="411"/>
      <c r="AF246" s="411"/>
      <c r="AG246" s="411"/>
    </row>
    <row r="247" ht="14.25" customHeight="1">
      <c r="O247" s="411"/>
      <c r="P247" s="411"/>
      <c r="Q247" s="411"/>
      <c r="R247" s="411"/>
      <c r="S247" s="411"/>
      <c r="T247" s="411"/>
      <c r="U247" s="411"/>
      <c r="V247" s="411"/>
      <c r="W247" s="411"/>
      <c r="X247" s="411"/>
      <c r="Y247" s="411"/>
      <c r="Z247" s="411"/>
      <c r="AA247" s="411"/>
      <c r="AB247" s="411"/>
      <c r="AC247" s="411"/>
      <c r="AD247" s="411"/>
      <c r="AE247" s="411"/>
      <c r="AF247" s="411"/>
      <c r="AG247" s="411"/>
    </row>
    <row r="248" ht="14.25" customHeight="1">
      <c r="O248" s="411"/>
      <c r="P248" s="411"/>
      <c r="Q248" s="411"/>
      <c r="R248" s="411"/>
      <c r="S248" s="411"/>
      <c r="T248" s="411"/>
      <c r="U248" s="411"/>
      <c r="V248" s="411"/>
      <c r="W248" s="411"/>
      <c r="X248" s="411"/>
      <c r="Y248" s="411"/>
      <c r="Z248" s="411"/>
      <c r="AA248" s="411"/>
      <c r="AB248" s="411"/>
      <c r="AC248" s="411"/>
      <c r="AD248" s="411"/>
      <c r="AE248" s="411"/>
      <c r="AF248" s="411"/>
      <c r="AG248" s="411"/>
    </row>
    <row r="249" ht="14.25" customHeight="1">
      <c r="O249" s="411"/>
      <c r="P249" s="411"/>
      <c r="Q249" s="411"/>
      <c r="R249" s="411"/>
      <c r="S249" s="411"/>
      <c r="T249" s="411"/>
      <c r="U249" s="411"/>
      <c r="V249" s="411"/>
      <c r="W249" s="411"/>
      <c r="X249" s="411"/>
      <c r="Y249" s="411"/>
      <c r="Z249" s="411"/>
      <c r="AA249" s="411"/>
      <c r="AB249" s="411"/>
      <c r="AC249" s="411"/>
      <c r="AD249" s="411"/>
      <c r="AE249" s="411"/>
      <c r="AF249" s="411"/>
      <c r="AG249" s="411"/>
    </row>
    <row r="250" ht="14.25" customHeight="1">
      <c r="O250" s="411"/>
      <c r="P250" s="411"/>
      <c r="Q250" s="411"/>
      <c r="R250" s="411"/>
      <c r="S250" s="411"/>
      <c r="T250" s="411"/>
      <c r="U250" s="411"/>
      <c r="V250" s="411"/>
      <c r="W250" s="411"/>
      <c r="X250" s="411"/>
      <c r="Y250" s="411"/>
      <c r="Z250" s="411"/>
      <c r="AA250" s="411"/>
      <c r="AB250" s="411"/>
      <c r="AC250" s="411"/>
      <c r="AD250" s="411"/>
      <c r="AE250" s="411"/>
      <c r="AF250" s="411"/>
      <c r="AG250" s="411"/>
    </row>
    <row r="251" ht="14.25" customHeight="1">
      <c r="O251" s="411"/>
      <c r="P251" s="411"/>
      <c r="Q251" s="411"/>
      <c r="R251" s="411"/>
      <c r="S251" s="411"/>
      <c r="T251" s="411"/>
      <c r="U251" s="411"/>
      <c r="V251" s="411"/>
      <c r="W251" s="411"/>
      <c r="X251" s="411"/>
      <c r="Y251" s="411"/>
      <c r="Z251" s="411"/>
      <c r="AA251" s="411"/>
      <c r="AB251" s="411"/>
      <c r="AC251" s="411"/>
      <c r="AD251" s="411"/>
      <c r="AE251" s="411"/>
      <c r="AF251" s="411"/>
      <c r="AG251" s="411"/>
    </row>
    <row r="252" ht="14.25" customHeight="1">
      <c r="O252" s="411"/>
      <c r="P252" s="411"/>
      <c r="Q252" s="411"/>
      <c r="R252" s="411"/>
      <c r="S252" s="411"/>
      <c r="T252" s="411"/>
      <c r="U252" s="411"/>
      <c r="V252" s="411"/>
      <c r="W252" s="411"/>
      <c r="X252" s="411"/>
      <c r="Y252" s="411"/>
      <c r="Z252" s="411"/>
      <c r="AA252" s="411"/>
      <c r="AB252" s="411"/>
      <c r="AC252" s="411"/>
      <c r="AD252" s="411"/>
      <c r="AE252" s="411"/>
      <c r="AF252" s="411"/>
      <c r="AG252" s="411"/>
    </row>
    <row r="253" ht="14.25" customHeight="1">
      <c r="O253" s="411"/>
      <c r="P253" s="411"/>
      <c r="Q253" s="411"/>
      <c r="R253" s="411"/>
      <c r="S253" s="411"/>
      <c r="T253" s="411"/>
      <c r="U253" s="411"/>
      <c r="V253" s="411"/>
      <c r="W253" s="411"/>
      <c r="X253" s="411"/>
      <c r="Y253" s="411"/>
      <c r="Z253" s="411"/>
      <c r="AA253" s="411"/>
      <c r="AB253" s="411"/>
      <c r="AC253" s="411"/>
      <c r="AD253" s="411"/>
      <c r="AE253" s="411"/>
      <c r="AF253" s="411"/>
      <c r="AG253" s="411"/>
    </row>
    <row r="254" ht="14.25" customHeight="1">
      <c r="O254" s="411"/>
      <c r="P254" s="411"/>
      <c r="Q254" s="411"/>
      <c r="R254" s="411"/>
      <c r="S254" s="411"/>
      <c r="T254" s="411"/>
      <c r="U254" s="411"/>
      <c r="V254" s="411"/>
      <c r="W254" s="411"/>
      <c r="X254" s="411"/>
      <c r="Y254" s="411"/>
      <c r="Z254" s="411"/>
      <c r="AA254" s="411"/>
      <c r="AB254" s="411"/>
      <c r="AC254" s="411"/>
      <c r="AD254" s="411"/>
      <c r="AE254" s="411"/>
      <c r="AF254" s="411"/>
      <c r="AG254" s="411"/>
    </row>
    <row r="255" ht="14.25" customHeight="1">
      <c r="O255" s="411"/>
      <c r="P255" s="411"/>
      <c r="Q255" s="411"/>
      <c r="R255" s="411"/>
      <c r="S255" s="411"/>
      <c r="T255" s="411"/>
      <c r="U255" s="411"/>
      <c r="V255" s="411"/>
      <c r="W255" s="411"/>
      <c r="X255" s="411"/>
      <c r="Y255" s="411"/>
      <c r="Z255" s="411"/>
      <c r="AA255" s="411"/>
      <c r="AB255" s="411"/>
      <c r="AC255" s="411"/>
      <c r="AD255" s="411"/>
      <c r="AE255" s="411"/>
      <c r="AF255" s="411"/>
      <c r="AG255" s="411"/>
    </row>
    <row r="256" ht="14.25" customHeight="1">
      <c r="O256" s="411"/>
      <c r="P256" s="411"/>
      <c r="Q256" s="411"/>
      <c r="R256" s="411"/>
      <c r="S256" s="411"/>
      <c r="T256" s="411"/>
      <c r="U256" s="411"/>
      <c r="V256" s="411"/>
      <c r="W256" s="411"/>
      <c r="X256" s="411"/>
      <c r="Y256" s="411"/>
      <c r="Z256" s="411"/>
      <c r="AA256" s="411"/>
      <c r="AB256" s="411"/>
      <c r="AC256" s="411"/>
      <c r="AD256" s="411"/>
      <c r="AE256" s="411"/>
      <c r="AF256" s="411"/>
      <c r="AG256" s="411"/>
    </row>
    <row r="257" ht="14.25" customHeight="1">
      <c r="O257" s="411"/>
      <c r="P257" s="411"/>
      <c r="Q257" s="411"/>
      <c r="R257" s="411"/>
      <c r="S257" s="411"/>
      <c r="T257" s="411"/>
      <c r="U257" s="411"/>
      <c r="V257" s="411"/>
      <c r="W257" s="411"/>
      <c r="X257" s="411"/>
      <c r="Y257" s="411"/>
      <c r="Z257" s="411"/>
      <c r="AA257" s="411"/>
      <c r="AB257" s="411"/>
      <c r="AC257" s="411"/>
      <c r="AD257" s="411"/>
      <c r="AE257" s="411"/>
      <c r="AF257" s="411"/>
      <c r="AG257" s="411"/>
    </row>
    <row r="258" ht="14.25" customHeight="1">
      <c r="O258" s="411"/>
      <c r="P258" s="411"/>
      <c r="Q258" s="411"/>
      <c r="R258" s="411"/>
      <c r="S258" s="411"/>
      <c r="T258" s="411"/>
      <c r="U258" s="411"/>
      <c r="V258" s="411"/>
      <c r="W258" s="411"/>
      <c r="X258" s="411"/>
      <c r="Y258" s="411"/>
      <c r="Z258" s="411"/>
      <c r="AA258" s="411"/>
      <c r="AB258" s="411"/>
      <c r="AC258" s="411"/>
      <c r="AD258" s="411"/>
      <c r="AE258" s="411"/>
      <c r="AF258" s="411"/>
      <c r="AG258" s="411"/>
    </row>
    <row r="259" ht="14.25" customHeight="1">
      <c r="O259" s="411"/>
      <c r="P259" s="411"/>
      <c r="Q259" s="411"/>
      <c r="R259" s="411"/>
      <c r="S259" s="411"/>
      <c r="T259" s="411"/>
      <c r="U259" s="411"/>
      <c r="V259" s="411"/>
      <c r="W259" s="411"/>
      <c r="X259" s="411"/>
      <c r="Y259" s="411"/>
      <c r="Z259" s="411"/>
      <c r="AA259" s="411"/>
      <c r="AB259" s="411"/>
      <c r="AC259" s="411"/>
      <c r="AD259" s="411"/>
      <c r="AE259" s="411"/>
      <c r="AF259" s="411"/>
      <c r="AG259" s="411"/>
    </row>
    <row r="260" ht="14.25" customHeight="1">
      <c r="O260" s="411"/>
      <c r="P260" s="411"/>
      <c r="Q260" s="411"/>
      <c r="R260" s="411"/>
      <c r="S260" s="411"/>
      <c r="T260" s="411"/>
      <c r="U260" s="411"/>
      <c r="V260" s="411"/>
      <c r="W260" s="411"/>
      <c r="X260" s="411"/>
      <c r="Y260" s="411"/>
      <c r="Z260" s="411"/>
      <c r="AA260" s="411"/>
      <c r="AB260" s="411"/>
      <c r="AC260" s="411"/>
      <c r="AD260" s="411"/>
      <c r="AE260" s="411"/>
      <c r="AF260" s="411"/>
      <c r="AG260" s="411"/>
    </row>
    <row r="261" ht="14.25" customHeight="1">
      <c r="O261" s="411"/>
      <c r="P261" s="411"/>
      <c r="Q261" s="411"/>
      <c r="R261" s="411"/>
      <c r="S261" s="411"/>
      <c r="T261" s="411"/>
      <c r="U261" s="411"/>
      <c r="V261" s="411"/>
      <c r="W261" s="411"/>
      <c r="X261" s="411"/>
      <c r="Y261" s="411"/>
      <c r="Z261" s="411"/>
      <c r="AA261" s="411"/>
      <c r="AB261" s="411"/>
      <c r="AC261" s="411"/>
      <c r="AD261" s="411"/>
      <c r="AE261" s="411"/>
      <c r="AF261" s="411"/>
      <c r="AG261" s="411"/>
    </row>
    <row r="262" ht="14.25" customHeight="1">
      <c r="O262" s="411"/>
      <c r="P262" s="411"/>
      <c r="Q262" s="411"/>
      <c r="R262" s="411"/>
      <c r="S262" s="411"/>
      <c r="T262" s="411"/>
      <c r="U262" s="411"/>
      <c r="V262" s="411"/>
      <c r="W262" s="411"/>
      <c r="X262" s="411"/>
      <c r="Y262" s="411"/>
      <c r="Z262" s="411"/>
      <c r="AA262" s="411"/>
      <c r="AB262" s="411"/>
      <c r="AC262" s="411"/>
      <c r="AD262" s="411"/>
      <c r="AE262" s="411"/>
      <c r="AF262" s="411"/>
      <c r="AG262" s="411"/>
    </row>
    <row r="263" ht="14.25" customHeight="1">
      <c r="O263" s="411"/>
      <c r="P263" s="411"/>
      <c r="Q263" s="411"/>
      <c r="R263" s="411"/>
      <c r="S263" s="411"/>
      <c r="T263" s="411"/>
      <c r="U263" s="411"/>
      <c r="V263" s="411"/>
      <c r="W263" s="411"/>
      <c r="X263" s="411"/>
      <c r="Y263" s="411"/>
      <c r="Z263" s="411"/>
      <c r="AA263" s="411"/>
      <c r="AB263" s="411"/>
      <c r="AC263" s="411"/>
      <c r="AD263" s="411"/>
      <c r="AE263" s="411"/>
      <c r="AF263" s="411"/>
      <c r="AG263" s="411"/>
    </row>
    <row r="264" ht="14.25" customHeight="1">
      <c r="O264" s="411"/>
      <c r="P264" s="411"/>
      <c r="Q264" s="411"/>
      <c r="R264" s="411"/>
      <c r="S264" s="411"/>
      <c r="T264" s="411"/>
      <c r="U264" s="411"/>
      <c r="V264" s="411"/>
      <c r="W264" s="411"/>
      <c r="X264" s="411"/>
      <c r="Y264" s="411"/>
      <c r="Z264" s="411"/>
      <c r="AA264" s="411"/>
      <c r="AB264" s="411"/>
      <c r="AC264" s="411"/>
      <c r="AD264" s="411"/>
      <c r="AE264" s="411"/>
      <c r="AF264" s="411"/>
      <c r="AG264" s="411"/>
    </row>
    <row r="265" ht="14.25" customHeight="1">
      <c r="O265" s="411"/>
      <c r="P265" s="411"/>
      <c r="Q265" s="411"/>
      <c r="R265" s="411"/>
      <c r="S265" s="411"/>
      <c r="T265" s="411"/>
      <c r="U265" s="411"/>
      <c r="V265" s="411"/>
      <c r="W265" s="411"/>
      <c r="X265" s="411"/>
      <c r="Y265" s="411"/>
      <c r="Z265" s="411"/>
      <c r="AA265" s="411"/>
      <c r="AB265" s="411"/>
      <c r="AC265" s="411"/>
      <c r="AD265" s="411"/>
      <c r="AE265" s="411"/>
      <c r="AF265" s="411"/>
      <c r="AG265" s="411"/>
    </row>
    <row r="266" ht="14.25" customHeight="1">
      <c r="O266" s="411"/>
      <c r="P266" s="411"/>
      <c r="Q266" s="411"/>
      <c r="R266" s="411"/>
      <c r="S266" s="411"/>
      <c r="T266" s="411"/>
      <c r="U266" s="411"/>
      <c r="V266" s="411"/>
      <c r="W266" s="411"/>
      <c r="X266" s="411"/>
      <c r="Y266" s="411"/>
      <c r="Z266" s="411"/>
      <c r="AA266" s="411"/>
      <c r="AB266" s="411"/>
      <c r="AC266" s="411"/>
      <c r="AD266" s="411"/>
      <c r="AE266" s="411"/>
      <c r="AF266" s="411"/>
      <c r="AG266" s="411"/>
    </row>
    <row r="267" ht="14.25" customHeight="1">
      <c r="O267" s="411"/>
      <c r="P267" s="411"/>
      <c r="Q267" s="411"/>
      <c r="R267" s="411"/>
      <c r="S267" s="411"/>
      <c r="T267" s="411"/>
      <c r="U267" s="411"/>
      <c r="V267" s="411"/>
      <c r="W267" s="411"/>
      <c r="X267" s="411"/>
      <c r="Y267" s="411"/>
      <c r="Z267" s="411"/>
      <c r="AA267" s="411"/>
      <c r="AB267" s="411"/>
      <c r="AC267" s="411"/>
      <c r="AD267" s="411"/>
      <c r="AE267" s="411"/>
      <c r="AF267" s="411"/>
      <c r="AG267" s="411"/>
    </row>
    <row r="268" ht="14.25" customHeight="1">
      <c r="O268" s="411"/>
      <c r="P268" s="411"/>
      <c r="Q268" s="411"/>
      <c r="R268" s="411"/>
      <c r="S268" s="411"/>
      <c r="T268" s="411"/>
      <c r="U268" s="411"/>
      <c r="V268" s="411"/>
      <c r="W268" s="411"/>
      <c r="X268" s="411"/>
      <c r="Y268" s="411"/>
      <c r="Z268" s="411"/>
      <c r="AA268" s="411"/>
      <c r="AB268" s="411"/>
      <c r="AC268" s="411"/>
      <c r="AD268" s="411"/>
      <c r="AE268" s="411"/>
      <c r="AF268" s="411"/>
      <c r="AG268" s="411"/>
    </row>
    <row r="269" ht="14.25" customHeight="1">
      <c r="O269" s="411"/>
      <c r="P269" s="411"/>
      <c r="Q269" s="411"/>
      <c r="R269" s="411"/>
      <c r="S269" s="411"/>
      <c r="T269" s="411"/>
      <c r="U269" s="411"/>
      <c r="V269" s="411"/>
      <c r="W269" s="411"/>
      <c r="X269" s="411"/>
      <c r="Y269" s="411"/>
      <c r="Z269" s="411"/>
      <c r="AA269" s="411"/>
      <c r="AB269" s="411"/>
      <c r="AC269" s="411"/>
      <c r="AD269" s="411"/>
      <c r="AE269" s="411"/>
      <c r="AF269" s="411"/>
      <c r="AG269" s="411"/>
    </row>
    <row r="270" ht="14.25" customHeight="1">
      <c r="O270" s="411"/>
      <c r="P270" s="411"/>
      <c r="Q270" s="411"/>
      <c r="R270" s="411"/>
      <c r="S270" s="411"/>
      <c r="T270" s="411"/>
      <c r="U270" s="411"/>
      <c r="V270" s="411"/>
      <c r="W270" s="411"/>
      <c r="X270" s="411"/>
      <c r="Y270" s="411"/>
      <c r="Z270" s="411"/>
      <c r="AA270" s="411"/>
      <c r="AB270" s="411"/>
      <c r="AC270" s="411"/>
      <c r="AD270" s="411"/>
      <c r="AE270" s="411"/>
      <c r="AF270" s="411"/>
      <c r="AG270" s="411"/>
    </row>
    <row r="271" ht="14.25" customHeight="1">
      <c r="O271" s="411"/>
      <c r="P271" s="411"/>
      <c r="Q271" s="411"/>
      <c r="R271" s="411"/>
      <c r="S271" s="411"/>
      <c r="T271" s="411"/>
      <c r="U271" s="411"/>
      <c r="V271" s="411"/>
      <c r="W271" s="411"/>
      <c r="X271" s="411"/>
      <c r="Y271" s="411"/>
      <c r="Z271" s="411"/>
      <c r="AA271" s="411"/>
      <c r="AB271" s="411"/>
      <c r="AC271" s="411"/>
      <c r="AD271" s="411"/>
      <c r="AE271" s="411"/>
      <c r="AF271" s="411"/>
      <c r="AG271" s="411"/>
    </row>
    <row r="272" ht="14.25" customHeight="1">
      <c r="O272" s="411"/>
      <c r="P272" s="411"/>
      <c r="Q272" s="411"/>
      <c r="R272" s="411"/>
      <c r="S272" s="411"/>
      <c r="T272" s="411"/>
      <c r="U272" s="411"/>
      <c r="V272" s="411"/>
      <c r="W272" s="411"/>
      <c r="X272" s="411"/>
      <c r="Y272" s="411"/>
      <c r="Z272" s="411"/>
      <c r="AA272" s="411"/>
      <c r="AB272" s="411"/>
      <c r="AC272" s="411"/>
      <c r="AD272" s="411"/>
      <c r="AE272" s="411"/>
      <c r="AF272" s="411"/>
      <c r="AG272" s="411"/>
    </row>
    <row r="273" ht="14.25" customHeight="1">
      <c r="O273" s="411"/>
      <c r="P273" s="411"/>
      <c r="Q273" s="411"/>
      <c r="R273" s="411"/>
      <c r="S273" s="411"/>
      <c r="T273" s="411"/>
      <c r="U273" s="411"/>
      <c r="V273" s="411"/>
      <c r="W273" s="411"/>
      <c r="X273" s="411"/>
      <c r="Y273" s="411"/>
      <c r="Z273" s="411"/>
      <c r="AA273" s="411"/>
      <c r="AB273" s="411"/>
      <c r="AC273" s="411"/>
      <c r="AD273" s="411"/>
      <c r="AE273" s="411"/>
      <c r="AF273" s="411"/>
      <c r="AG273" s="411"/>
    </row>
    <row r="274" ht="14.25" customHeight="1">
      <c r="O274" s="411"/>
      <c r="P274" s="411"/>
      <c r="Q274" s="411"/>
      <c r="R274" s="411"/>
      <c r="S274" s="411"/>
      <c r="T274" s="411"/>
      <c r="U274" s="411"/>
      <c r="V274" s="411"/>
      <c r="W274" s="411"/>
      <c r="X274" s="411"/>
      <c r="Y274" s="411"/>
      <c r="Z274" s="411"/>
      <c r="AA274" s="411"/>
      <c r="AB274" s="411"/>
      <c r="AC274" s="411"/>
      <c r="AD274" s="411"/>
      <c r="AE274" s="411"/>
      <c r="AF274" s="411"/>
      <c r="AG274" s="411"/>
    </row>
    <row r="275" ht="14.25" customHeight="1">
      <c r="O275" s="411"/>
      <c r="P275" s="411"/>
      <c r="Q275" s="411"/>
      <c r="R275" s="411"/>
      <c r="S275" s="411"/>
      <c r="T275" s="411"/>
      <c r="U275" s="411"/>
      <c r="V275" s="411"/>
      <c r="W275" s="411"/>
      <c r="X275" s="411"/>
      <c r="Y275" s="411"/>
      <c r="Z275" s="411"/>
      <c r="AA275" s="411"/>
      <c r="AB275" s="411"/>
      <c r="AC275" s="411"/>
      <c r="AD275" s="411"/>
      <c r="AE275" s="411"/>
      <c r="AF275" s="411"/>
      <c r="AG275" s="411"/>
    </row>
    <row r="276" ht="14.25" customHeight="1">
      <c r="O276" s="411"/>
      <c r="P276" s="411"/>
      <c r="Q276" s="411"/>
      <c r="R276" s="411"/>
      <c r="S276" s="411"/>
      <c r="T276" s="411"/>
      <c r="U276" s="411"/>
      <c r="V276" s="411"/>
      <c r="W276" s="411"/>
      <c r="X276" s="411"/>
      <c r="Y276" s="411"/>
      <c r="Z276" s="411"/>
      <c r="AA276" s="411"/>
      <c r="AB276" s="411"/>
      <c r="AC276" s="411"/>
      <c r="AD276" s="411"/>
      <c r="AE276" s="411"/>
      <c r="AF276" s="411"/>
      <c r="AG276" s="411"/>
    </row>
    <row r="277" ht="14.25" customHeight="1">
      <c r="O277" s="411"/>
      <c r="P277" s="411"/>
      <c r="Q277" s="411"/>
      <c r="R277" s="411"/>
      <c r="S277" s="411"/>
      <c r="T277" s="411"/>
      <c r="U277" s="411"/>
      <c r="V277" s="411"/>
      <c r="W277" s="411"/>
      <c r="X277" s="411"/>
      <c r="Y277" s="411"/>
      <c r="Z277" s="411"/>
      <c r="AA277" s="411"/>
      <c r="AB277" s="411"/>
      <c r="AC277" s="411"/>
      <c r="AD277" s="411"/>
      <c r="AE277" s="411"/>
      <c r="AF277" s="411"/>
      <c r="AG277" s="411"/>
    </row>
    <row r="278" ht="14.25" customHeight="1">
      <c r="O278" s="411"/>
      <c r="P278" s="411"/>
      <c r="Q278" s="411"/>
      <c r="R278" s="411"/>
      <c r="S278" s="411"/>
      <c r="T278" s="411"/>
      <c r="U278" s="411"/>
      <c r="V278" s="411"/>
      <c r="W278" s="411"/>
      <c r="X278" s="411"/>
      <c r="Y278" s="411"/>
      <c r="Z278" s="411"/>
      <c r="AA278" s="411"/>
      <c r="AB278" s="411"/>
      <c r="AC278" s="411"/>
      <c r="AD278" s="411"/>
      <c r="AE278" s="411"/>
      <c r="AF278" s="411"/>
      <c r="AG278" s="411"/>
    </row>
    <row r="279" ht="14.25" customHeight="1">
      <c r="O279" s="411"/>
      <c r="P279" s="411"/>
      <c r="Q279" s="411"/>
      <c r="R279" s="411"/>
      <c r="S279" s="411"/>
      <c r="T279" s="411"/>
      <c r="U279" s="411"/>
      <c r="V279" s="411"/>
      <c r="W279" s="411"/>
      <c r="X279" s="411"/>
      <c r="Y279" s="411"/>
      <c r="Z279" s="411"/>
      <c r="AA279" s="411"/>
      <c r="AB279" s="411"/>
      <c r="AC279" s="411"/>
      <c r="AD279" s="411"/>
      <c r="AE279" s="411"/>
      <c r="AF279" s="411"/>
      <c r="AG279" s="411"/>
    </row>
    <row r="280" ht="14.25" customHeight="1">
      <c r="O280" s="411"/>
      <c r="P280" s="411"/>
      <c r="Q280" s="411"/>
      <c r="R280" s="411"/>
      <c r="S280" s="411"/>
      <c r="T280" s="411"/>
      <c r="U280" s="411"/>
      <c r="V280" s="411"/>
      <c r="W280" s="411"/>
      <c r="X280" s="411"/>
      <c r="Y280" s="411"/>
      <c r="Z280" s="411"/>
      <c r="AA280" s="411"/>
      <c r="AB280" s="411"/>
      <c r="AC280" s="411"/>
      <c r="AD280" s="411"/>
      <c r="AE280" s="411"/>
      <c r="AF280" s="411"/>
      <c r="AG280" s="411"/>
    </row>
    <row r="281" ht="14.25" customHeight="1">
      <c r="O281" s="411"/>
      <c r="P281" s="411"/>
      <c r="Q281" s="411"/>
      <c r="R281" s="411"/>
      <c r="S281" s="411"/>
      <c r="T281" s="411"/>
      <c r="U281" s="411"/>
      <c r="V281" s="411"/>
      <c r="W281" s="411"/>
      <c r="X281" s="411"/>
      <c r="Y281" s="411"/>
      <c r="Z281" s="411"/>
      <c r="AA281" s="411"/>
      <c r="AB281" s="411"/>
      <c r="AC281" s="411"/>
      <c r="AD281" s="411"/>
      <c r="AE281" s="411"/>
      <c r="AF281" s="411"/>
      <c r="AG281" s="411"/>
    </row>
    <row r="282" ht="14.25" customHeight="1">
      <c r="O282" s="411"/>
      <c r="P282" s="411"/>
      <c r="Q282" s="411"/>
      <c r="R282" s="411"/>
      <c r="S282" s="411"/>
      <c r="T282" s="411"/>
      <c r="U282" s="411"/>
      <c r="V282" s="411"/>
      <c r="W282" s="411"/>
      <c r="X282" s="411"/>
      <c r="Y282" s="411"/>
      <c r="Z282" s="411"/>
      <c r="AA282" s="411"/>
      <c r="AB282" s="411"/>
      <c r="AC282" s="411"/>
      <c r="AD282" s="411"/>
      <c r="AE282" s="411"/>
      <c r="AF282" s="411"/>
      <c r="AG282" s="411"/>
    </row>
    <row r="283" ht="14.25" customHeight="1">
      <c r="O283" s="411"/>
      <c r="P283" s="411"/>
      <c r="Q283" s="411"/>
      <c r="R283" s="411"/>
      <c r="S283" s="411"/>
      <c r="T283" s="411"/>
      <c r="U283" s="411"/>
      <c r="V283" s="411"/>
      <c r="W283" s="411"/>
      <c r="X283" s="411"/>
      <c r="Y283" s="411"/>
      <c r="Z283" s="411"/>
      <c r="AA283" s="411"/>
      <c r="AB283" s="411"/>
      <c r="AC283" s="411"/>
      <c r="AD283" s="411"/>
      <c r="AE283" s="411"/>
      <c r="AF283" s="411"/>
      <c r="AG283" s="411"/>
    </row>
    <row r="284" ht="14.25" customHeight="1">
      <c r="O284" s="411"/>
      <c r="P284" s="411"/>
      <c r="Q284" s="411"/>
      <c r="R284" s="411"/>
      <c r="S284" s="411"/>
      <c r="T284" s="411"/>
      <c r="U284" s="411"/>
      <c r="V284" s="411"/>
      <c r="W284" s="411"/>
      <c r="X284" s="411"/>
      <c r="Y284" s="411"/>
      <c r="Z284" s="411"/>
      <c r="AA284" s="411"/>
      <c r="AB284" s="411"/>
      <c r="AC284" s="411"/>
      <c r="AD284" s="411"/>
      <c r="AE284" s="411"/>
      <c r="AF284" s="411"/>
      <c r="AG284" s="411"/>
    </row>
    <row r="285" ht="14.25" customHeight="1">
      <c r="O285" s="411"/>
      <c r="P285" s="411"/>
      <c r="Q285" s="411"/>
      <c r="R285" s="411"/>
      <c r="S285" s="411"/>
      <c r="T285" s="411"/>
      <c r="U285" s="411"/>
      <c r="V285" s="411"/>
      <c r="W285" s="411"/>
      <c r="X285" s="411"/>
      <c r="Y285" s="411"/>
      <c r="Z285" s="411"/>
      <c r="AA285" s="411"/>
      <c r="AB285" s="411"/>
      <c r="AC285" s="411"/>
      <c r="AD285" s="411"/>
      <c r="AE285" s="411"/>
      <c r="AF285" s="411"/>
      <c r="AG285" s="411"/>
    </row>
    <row r="286" ht="14.25" customHeight="1">
      <c r="O286" s="411"/>
      <c r="P286" s="411"/>
      <c r="Q286" s="411"/>
      <c r="R286" s="411"/>
      <c r="S286" s="411"/>
      <c r="T286" s="411"/>
      <c r="U286" s="411"/>
      <c r="V286" s="411"/>
      <c r="W286" s="411"/>
      <c r="X286" s="411"/>
      <c r="Y286" s="411"/>
      <c r="Z286" s="411"/>
      <c r="AA286" s="411"/>
      <c r="AB286" s="411"/>
      <c r="AC286" s="411"/>
      <c r="AD286" s="411"/>
      <c r="AE286" s="411"/>
      <c r="AF286" s="411"/>
      <c r="AG286" s="411"/>
    </row>
    <row r="287" ht="14.25" customHeight="1">
      <c r="O287" s="411"/>
      <c r="P287" s="411"/>
      <c r="Q287" s="411"/>
      <c r="R287" s="411"/>
      <c r="S287" s="411"/>
      <c r="T287" s="411"/>
      <c r="U287" s="411"/>
      <c r="V287" s="411"/>
      <c r="W287" s="411"/>
      <c r="X287" s="411"/>
      <c r="Y287" s="411"/>
      <c r="Z287" s="411"/>
      <c r="AA287" s="411"/>
      <c r="AB287" s="411"/>
      <c r="AC287" s="411"/>
      <c r="AD287" s="411"/>
      <c r="AE287" s="411"/>
      <c r="AF287" s="411"/>
      <c r="AG287" s="411"/>
    </row>
    <row r="288" ht="14.25" customHeight="1">
      <c r="O288" s="411"/>
      <c r="P288" s="411"/>
      <c r="Q288" s="411"/>
      <c r="R288" s="411"/>
      <c r="S288" s="411"/>
      <c r="T288" s="411"/>
      <c r="U288" s="411"/>
      <c r="V288" s="411"/>
      <c r="W288" s="411"/>
      <c r="X288" s="411"/>
      <c r="Y288" s="411"/>
      <c r="Z288" s="411"/>
      <c r="AA288" s="411"/>
      <c r="AB288" s="411"/>
      <c r="AC288" s="411"/>
      <c r="AD288" s="411"/>
      <c r="AE288" s="411"/>
      <c r="AF288" s="411"/>
      <c r="AG288" s="411"/>
    </row>
    <row r="289" ht="14.25" customHeight="1">
      <c r="O289" s="411"/>
      <c r="P289" s="411"/>
      <c r="Q289" s="411"/>
      <c r="R289" s="411"/>
      <c r="S289" s="411"/>
      <c r="T289" s="411"/>
      <c r="U289" s="411"/>
      <c r="V289" s="411"/>
      <c r="W289" s="411"/>
      <c r="X289" s="411"/>
      <c r="Y289" s="411"/>
      <c r="Z289" s="411"/>
      <c r="AA289" s="411"/>
      <c r="AB289" s="411"/>
      <c r="AC289" s="411"/>
      <c r="AD289" s="411"/>
      <c r="AE289" s="411"/>
      <c r="AF289" s="411"/>
      <c r="AG289" s="411"/>
    </row>
    <row r="290" ht="14.25" customHeight="1">
      <c r="O290" s="411"/>
      <c r="P290" s="411"/>
      <c r="Q290" s="411"/>
      <c r="R290" s="411"/>
      <c r="S290" s="411"/>
      <c r="T290" s="411"/>
      <c r="U290" s="411"/>
      <c r="V290" s="411"/>
      <c r="W290" s="411"/>
      <c r="X290" s="411"/>
      <c r="Y290" s="411"/>
      <c r="Z290" s="411"/>
      <c r="AA290" s="411"/>
      <c r="AB290" s="411"/>
      <c r="AC290" s="411"/>
      <c r="AD290" s="411"/>
      <c r="AE290" s="411"/>
      <c r="AF290" s="411"/>
      <c r="AG290" s="411"/>
    </row>
    <row r="291" ht="14.25" customHeight="1">
      <c r="O291" s="411"/>
      <c r="P291" s="411"/>
      <c r="Q291" s="411"/>
      <c r="R291" s="411"/>
      <c r="S291" s="411"/>
      <c r="T291" s="411"/>
      <c r="U291" s="411"/>
      <c r="V291" s="411"/>
      <c r="W291" s="411"/>
      <c r="X291" s="411"/>
      <c r="Y291" s="411"/>
      <c r="Z291" s="411"/>
      <c r="AA291" s="411"/>
      <c r="AB291" s="411"/>
      <c r="AC291" s="411"/>
      <c r="AD291" s="411"/>
      <c r="AE291" s="411"/>
      <c r="AF291" s="411"/>
      <c r="AG291" s="411"/>
    </row>
    <row r="292" ht="14.25" customHeight="1">
      <c r="O292" s="411"/>
      <c r="P292" s="411"/>
      <c r="Q292" s="411"/>
      <c r="R292" s="411"/>
      <c r="S292" s="411"/>
      <c r="T292" s="411"/>
      <c r="U292" s="411"/>
      <c r="V292" s="411"/>
      <c r="W292" s="411"/>
      <c r="X292" s="411"/>
      <c r="Y292" s="411"/>
      <c r="Z292" s="411"/>
      <c r="AA292" s="411"/>
      <c r="AB292" s="411"/>
      <c r="AC292" s="411"/>
      <c r="AD292" s="411"/>
      <c r="AE292" s="411"/>
      <c r="AF292" s="411"/>
      <c r="AG292" s="411"/>
    </row>
    <row r="293" ht="14.25" customHeight="1">
      <c r="O293" s="411"/>
      <c r="P293" s="411"/>
      <c r="Q293" s="411"/>
      <c r="R293" s="411"/>
      <c r="S293" s="411"/>
      <c r="T293" s="411"/>
      <c r="U293" s="411"/>
      <c r="V293" s="411"/>
      <c r="W293" s="411"/>
      <c r="X293" s="411"/>
      <c r="Y293" s="411"/>
      <c r="Z293" s="411"/>
      <c r="AA293" s="411"/>
      <c r="AB293" s="411"/>
      <c r="AC293" s="411"/>
      <c r="AD293" s="411"/>
      <c r="AE293" s="411"/>
      <c r="AF293" s="411"/>
      <c r="AG293" s="411"/>
    </row>
    <row r="294" ht="14.25" customHeight="1">
      <c r="O294" s="411"/>
      <c r="P294" s="411"/>
      <c r="Q294" s="411"/>
      <c r="R294" s="411"/>
      <c r="S294" s="411"/>
      <c r="T294" s="411"/>
      <c r="U294" s="411"/>
      <c r="V294" s="411"/>
      <c r="W294" s="411"/>
      <c r="X294" s="411"/>
      <c r="Y294" s="411"/>
      <c r="Z294" s="411"/>
      <c r="AA294" s="411"/>
      <c r="AB294" s="411"/>
      <c r="AC294" s="411"/>
      <c r="AD294" s="411"/>
      <c r="AE294" s="411"/>
      <c r="AF294" s="411"/>
      <c r="AG294" s="411"/>
    </row>
    <row r="295" ht="14.25" customHeight="1">
      <c r="O295" s="411"/>
      <c r="P295" s="411"/>
      <c r="Q295" s="411"/>
      <c r="R295" s="411"/>
      <c r="S295" s="411"/>
      <c r="T295" s="411"/>
      <c r="U295" s="411"/>
      <c r="V295" s="411"/>
      <c r="W295" s="411"/>
      <c r="X295" s="411"/>
      <c r="Y295" s="411"/>
      <c r="Z295" s="411"/>
      <c r="AA295" s="411"/>
      <c r="AB295" s="411"/>
      <c r="AC295" s="411"/>
      <c r="AD295" s="411"/>
      <c r="AE295" s="411"/>
      <c r="AF295" s="411"/>
      <c r="AG295" s="411"/>
    </row>
    <row r="296" ht="14.25" customHeight="1">
      <c r="O296" s="411"/>
      <c r="P296" s="411"/>
      <c r="Q296" s="411"/>
      <c r="R296" s="411"/>
      <c r="S296" s="411"/>
      <c r="T296" s="411"/>
      <c r="U296" s="411"/>
      <c r="V296" s="411"/>
      <c r="W296" s="411"/>
      <c r="X296" s="411"/>
      <c r="Y296" s="411"/>
      <c r="Z296" s="411"/>
      <c r="AA296" s="411"/>
      <c r="AB296" s="411"/>
      <c r="AC296" s="411"/>
      <c r="AD296" s="411"/>
      <c r="AE296" s="411"/>
      <c r="AF296" s="411"/>
      <c r="AG296" s="411"/>
    </row>
    <row r="297" ht="14.25" customHeight="1">
      <c r="O297" s="411"/>
      <c r="P297" s="411"/>
      <c r="Q297" s="411"/>
      <c r="R297" s="411"/>
      <c r="S297" s="411"/>
      <c r="T297" s="411"/>
      <c r="U297" s="411"/>
      <c r="V297" s="411"/>
      <c r="W297" s="411"/>
      <c r="X297" s="411"/>
      <c r="Y297" s="411"/>
      <c r="Z297" s="411"/>
      <c r="AA297" s="411"/>
      <c r="AB297" s="411"/>
      <c r="AC297" s="411"/>
      <c r="AD297" s="411"/>
      <c r="AE297" s="411"/>
      <c r="AF297" s="411"/>
      <c r="AG297" s="411"/>
    </row>
    <row r="298" ht="14.25" customHeight="1">
      <c r="O298" s="411"/>
      <c r="P298" s="411"/>
      <c r="Q298" s="411"/>
      <c r="R298" s="411"/>
      <c r="S298" s="411"/>
      <c r="T298" s="411"/>
      <c r="U298" s="411"/>
      <c r="V298" s="411"/>
      <c r="W298" s="411"/>
      <c r="X298" s="411"/>
      <c r="Y298" s="411"/>
      <c r="Z298" s="411"/>
      <c r="AA298" s="411"/>
      <c r="AB298" s="411"/>
      <c r="AC298" s="411"/>
      <c r="AD298" s="411"/>
      <c r="AE298" s="411"/>
      <c r="AF298" s="411"/>
      <c r="AG298" s="411"/>
    </row>
    <row r="299" ht="14.25" customHeight="1">
      <c r="O299" s="411"/>
      <c r="P299" s="411"/>
      <c r="Q299" s="411"/>
      <c r="R299" s="411"/>
      <c r="S299" s="411"/>
      <c r="T299" s="411"/>
      <c r="U299" s="411"/>
      <c r="V299" s="411"/>
      <c r="W299" s="411"/>
      <c r="X299" s="411"/>
      <c r="Y299" s="411"/>
      <c r="Z299" s="411"/>
      <c r="AA299" s="411"/>
      <c r="AB299" s="411"/>
      <c r="AC299" s="411"/>
      <c r="AD299" s="411"/>
      <c r="AE299" s="411"/>
      <c r="AF299" s="411"/>
      <c r="AG299" s="411"/>
    </row>
    <row r="300" ht="14.25" customHeight="1">
      <c r="O300" s="411"/>
      <c r="P300" s="411"/>
      <c r="Q300" s="411"/>
      <c r="R300" s="411"/>
      <c r="S300" s="411"/>
      <c r="T300" s="411"/>
      <c r="U300" s="411"/>
      <c r="V300" s="411"/>
      <c r="W300" s="411"/>
      <c r="X300" s="411"/>
      <c r="Y300" s="411"/>
      <c r="Z300" s="411"/>
      <c r="AA300" s="411"/>
      <c r="AB300" s="411"/>
      <c r="AC300" s="411"/>
      <c r="AD300" s="411"/>
      <c r="AE300" s="411"/>
      <c r="AF300" s="411"/>
      <c r="AG300" s="411"/>
    </row>
    <row r="301" ht="14.25" customHeight="1">
      <c r="O301" s="411"/>
      <c r="P301" s="411"/>
      <c r="Q301" s="411"/>
      <c r="R301" s="411"/>
      <c r="S301" s="411"/>
      <c r="T301" s="411"/>
      <c r="U301" s="411"/>
      <c r="V301" s="411"/>
      <c r="W301" s="411"/>
      <c r="X301" s="411"/>
      <c r="Y301" s="411"/>
      <c r="Z301" s="411"/>
      <c r="AA301" s="411"/>
      <c r="AB301" s="411"/>
      <c r="AC301" s="411"/>
      <c r="AD301" s="411"/>
      <c r="AE301" s="411"/>
      <c r="AF301" s="411"/>
      <c r="AG301" s="411"/>
    </row>
    <row r="302" ht="14.25" customHeight="1">
      <c r="O302" s="411"/>
      <c r="P302" s="411"/>
      <c r="Q302" s="411"/>
      <c r="R302" s="411"/>
      <c r="S302" s="411"/>
      <c r="T302" s="411"/>
      <c r="U302" s="411"/>
      <c r="V302" s="411"/>
      <c r="W302" s="411"/>
      <c r="X302" s="411"/>
      <c r="Y302" s="411"/>
      <c r="Z302" s="411"/>
      <c r="AA302" s="411"/>
      <c r="AB302" s="411"/>
      <c r="AC302" s="411"/>
      <c r="AD302" s="411"/>
      <c r="AE302" s="411"/>
      <c r="AF302" s="411"/>
      <c r="AG302" s="411"/>
    </row>
    <row r="303" ht="14.25" customHeight="1">
      <c r="O303" s="411"/>
      <c r="P303" s="411"/>
      <c r="Q303" s="411"/>
      <c r="R303" s="411"/>
      <c r="S303" s="411"/>
      <c r="T303" s="411"/>
      <c r="U303" s="411"/>
      <c r="V303" s="411"/>
      <c r="W303" s="411"/>
      <c r="X303" s="411"/>
      <c r="Y303" s="411"/>
      <c r="Z303" s="411"/>
      <c r="AA303" s="411"/>
      <c r="AB303" s="411"/>
      <c r="AC303" s="411"/>
      <c r="AD303" s="411"/>
      <c r="AE303" s="411"/>
      <c r="AF303" s="411"/>
      <c r="AG303" s="411"/>
    </row>
    <row r="304" ht="14.25" customHeight="1">
      <c r="O304" s="411"/>
      <c r="P304" s="411"/>
      <c r="Q304" s="411"/>
      <c r="R304" s="411"/>
      <c r="S304" s="411"/>
      <c r="T304" s="411"/>
      <c r="U304" s="411"/>
      <c r="V304" s="411"/>
      <c r="W304" s="411"/>
      <c r="X304" s="411"/>
      <c r="Y304" s="411"/>
      <c r="Z304" s="411"/>
      <c r="AA304" s="411"/>
      <c r="AB304" s="411"/>
      <c r="AC304" s="411"/>
      <c r="AD304" s="411"/>
      <c r="AE304" s="411"/>
      <c r="AF304" s="411"/>
      <c r="AG304" s="411"/>
    </row>
    <row r="305" ht="14.25" customHeight="1">
      <c r="O305" s="411"/>
      <c r="P305" s="411"/>
      <c r="Q305" s="411"/>
      <c r="R305" s="411"/>
      <c r="S305" s="411"/>
      <c r="T305" s="411"/>
      <c r="U305" s="411"/>
      <c r="V305" s="411"/>
      <c r="W305" s="411"/>
      <c r="X305" s="411"/>
      <c r="Y305" s="411"/>
      <c r="Z305" s="411"/>
      <c r="AA305" s="411"/>
      <c r="AB305" s="411"/>
      <c r="AC305" s="411"/>
      <c r="AD305" s="411"/>
      <c r="AE305" s="411"/>
      <c r="AF305" s="411"/>
      <c r="AG305" s="411"/>
    </row>
    <row r="306" ht="14.25" customHeight="1">
      <c r="O306" s="411"/>
      <c r="P306" s="411"/>
      <c r="Q306" s="411"/>
      <c r="R306" s="411"/>
      <c r="S306" s="411"/>
      <c r="T306" s="411"/>
      <c r="U306" s="411"/>
      <c r="V306" s="411"/>
      <c r="W306" s="411"/>
      <c r="X306" s="411"/>
      <c r="Y306" s="411"/>
      <c r="Z306" s="411"/>
      <c r="AA306" s="411"/>
      <c r="AB306" s="411"/>
      <c r="AC306" s="411"/>
      <c r="AD306" s="411"/>
      <c r="AE306" s="411"/>
      <c r="AF306" s="411"/>
      <c r="AG306" s="411"/>
    </row>
    <row r="307" ht="14.25" customHeight="1">
      <c r="O307" s="411"/>
      <c r="P307" s="411"/>
      <c r="Q307" s="411"/>
      <c r="R307" s="411"/>
      <c r="S307" s="411"/>
      <c r="T307" s="411"/>
      <c r="U307" s="411"/>
      <c r="V307" s="411"/>
      <c r="W307" s="411"/>
      <c r="X307" s="411"/>
      <c r="Y307" s="411"/>
      <c r="Z307" s="411"/>
      <c r="AA307" s="411"/>
      <c r="AB307" s="411"/>
      <c r="AC307" s="411"/>
      <c r="AD307" s="411"/>
      <c r="AE307" s="411"/>
      <c r="AF307" s="411"/>
      <c r="AG307" s="411"/>
    </row>
    <row r="308" ht="14.25" customHeight="1">
      <c r="O308" s="411"/>
      <c r="P308" s="411"/>
      <c r="Q308" s="411"/>
      <c r="R308" s="411"/>
      <c r="S308" s="411"/>
      <c r="T308" s="411"/>
      <c r="U308" s="411"/>
      <c r="V308" s="411"/>
      <c r="W308" s="411"/>
      <c r="X308" s="411"/>
      <c r="Y308" s="411"/>
      <c r="Z308" s="411"/>
      <c r="AA308" s="411"/>
      <c r="AB308" s="411"/>
      <c r="AC308" s="411"/>
      <c r="AD308" s="411"/>
      <c r="AE308" s="411"/>
      <c r="AF308" s="411"/>
      <c r="AG308" s="411"/>
    </row>
    <row r="309" ht="14.25" customHeight="1">
      <c r="O309" s="411"/>
      <c r="P309" s="411"/>
      <c r="Q309" s="411"/>
      <c r="R309" s="411"/>
      <c r="S309" s="411"/>
      <c r="T309" s="411"/>
      <c r="U309" s="411"/>
      <c r="V309" s="411"/>
      <c r="W309" s="411"/>
      <c r="X309" s="411"/>
      <c r="Y309" s="411"/>
      <c r="Z309" s="411"/>
      <c r="AA309" s="411"/>
      <c r="AB309" s="411"/>
      <c r="AC309" s="411"/>
      <c r="AD309" s="411"/>
      <c r="AE309" s="411"/>
      <c r="AF309" s="411"/>
      <c r="AG309" s="411"/>
    </row>
    <row r="310" ht="14.25" customHeight="1">
      <c r="O310" s="411"/>
      <c r="P310" s="411"/>
      <c r="Q310" s="411"/>
      <c r="R310" s="411"/>
      <c r="S310" s="411"/>
      <c r="T310" s="411"/>
      <c r="U310" s="411"/>
      <c r="V310" s="411"/>
      <c r="W310" s="411"/>
      <c r="X310" s="411"/>
      <c r="Y310" s="411"/>
      <c r="Z310" s="411"/>
      <c r="AA310" s="411"/>
      <c r="AB310" s="411"/>
      <c r="AC310" s="411"/>
      <c r="AD310" s="411"/>
      <c r="AE310" s="411"/>
      <c r="AF310" s="411"/>
      <c r="AG310" s="411"/>
    </row>
    <row r="311" ht="14.25" customHeight="1">
      <c r="O311" s="411"/>
      <c r="P311" s="411"/>
      <c r="Q311" s="411"/>
      <c r="R311" s="411"/>
      <c r="S311" s="411"/>
      <c r="T311" s="411"/>
      <c r="U311" s="411"/>
      <c r="V311" s="411"/>
      <c r="W311" s="411"/>
      <c r="X311" s="411"/>
      <c r="Y311" s="411"/>
      <c r="Z311" s="411"/>
      <c r="AA311" s="411"/>
      <c r="AB311" s="411"/>
      <c r="AC311" s="411"/>
      <c r="AD311" s="411"/>
      <c r="AE311" s="411"/>
      <c r="AF311" s="411"/>
      <c r="AG311" s="411"/>
    </row>
    <row r="312" ht="14.25" customHeight="1">
      <c r="O312" s="411"/>
      <c r="P312" s="411"/>
      <c r="Q312" s="411"/>
      <c r="R312" s="411"/>
      <c r="S312" s="411"/>
      <c r="T312" s="411"/>
      <c r="U312" s="411"/>
      <c r="V312" s="411"/>
      <c r="W312" s="411"/>
      <c r="X312" s="411"/>
      <c r="Y312" s="411"/>
      <c r="Z312" s="411"/>
      <c r="AA312" s="411"/>
      <c r="AB312" s="411"/>
      <c r="AC312" s="411"/>
      <c r="AD312" s="411"/>
      <c r="AE312" s="411"/>
      <c r="AF312" s="411"/>
      <c r="AG312" s="411"/>
    </row>
    <row r="313" ht="14.25" customHeight="1">
      <c r="O313" s="411"/>
      <c r="P313" s="411"/>
      <c r="Q313" s="411"/>
      <c r="R313" s="411"/>
      <c r="S313" s="411"/>
      <c r="T313" s="411"/>
      <c r="U313" s="411"/>
      <c r="V313" s="411"/>
      <c r="W313" s="411"/>
      <c r="X313" s="411"/>
      <c r="Y313" s="411"/>
      <c r="Z313" s="411"/>
      <c r="AA313" s="411"/>
      <c r="AB313" s="411"/>
      <c r="AC313" s="411"/>
      <c r="AD313" s="411"/>
      <c r="AE313" s="411"/>
      <c r="AF313" s="411"/>
      <c r="AG313" s="411"/>
    </row>
    <row r="314" ht="14.25" customHeight="1">
      <c r="O314" s="411"/>
      <c r="P314" s="411"/>
      <c r="Q314" s="411"/>
      <c r="R314" s="411"/>
      <c r="S314" s="411"/>
      <c r="T314" s="411"/>
      <c r="U314" s="411"/>
      <c r="V314" s="411"/>
      <c r="W314" s="411"/>
      <c r="X314" s="411"/>
      <c r="Y314" s="411"/>
      <c r="Z314" s="411"/>
      <c r="AA314" s="411"/>
      <c r="AB314" s="411"/>
      <c r="AC314" s="411"/>
      <c r="AD314" s="411"/>
      <c r="AE314" s="411"/>
      <c r="AF314" s="411"/>
      <c r="AG314" s="411"/>
    </row>
    <row r="315" ht="14.25" customHeight="1">
      <c r="O315" s="411"/>
      <c r="P315" s="411"/>
      <c r="Q315" s="411"/>
      <c r="R315" s="411"/>
      <c r="S315" s="411"/>
      <c r="T315" s="411"/>
      <c r="U315" s="411"/>
      <c r="V315" s="411"/>
      <c r="W315" s="411"/>
      <c r="X315" s="411"/>
      <c r="Y315" s="411"/>
      <c r="Z315" s="411"/>
      <c r="AA315" s="411"/>
      <c r="AB315" s="411"/>
      <c r="AC315" s="411"/>
      <c r="AD315" s="411"/>
      <c r="AE315" s="411"/>
      <c r="AF315" s="411"/>
      <c r="AG315" s="411"/>
    </row>
    <row r="316" ht="14.25" customHeight="1">
      <c r="O316" s="411"/>
      <c r="P316" s="411"/>
      <c r="Q316" s="411"/>
      <c r="R316" s="411"/>
      <c r="S316" s="411"/>
      <c r="T316" s="411"/>
      <c r="U316" s="411"/>
      <c r="V316" s="411"/>
      <c r="W316" s="411"/>
      <c r="X316" s="411"/>
      <c r="Y316" s="411"/>
      <c r="Z316" s="411"/>
      <c r="AA316" s="411"/>
      <c r="AB316" s="411"/>
      <c r="AC316" s="411"/>
      <c r="AD316" s="411"/>
      <c r="AE316" s="411"/>
      <c r="AF316" s="411"/>
      <c r="AG316" s="411"/>
    </row>
    <row r="317" ht="14.25" customHeight="1">
      <c r="O317" s="411"/>
      <c r="P317" s="411"/>
      <c r="Q317" s="411"/>
      <c r="R317" s="411"/>
      <c r="S317" s="411"/>
      <c r="T317" s="411"/>
      <c r="U317" s="411"/>
      <c r="V317" s="411"/>
      <c r="W317" s="411"/>
      <c r="X317" s="411"/>
      <c r="Y317" s="411"/>
      <c r="Z317" s="411"/>
      <c r="AA317" s="411"/>
      <c r="AB317" s="411"/>
      <c r="AC317" s="411"/>
      <c r="AD317" s="411"/>
      <c r="AE317" s="411"/>
      <c r="AF317" s="411"/>
      <c r="AG317" s="411"/>
    </row>
    <row r="318" ht="14.25" customHeight="1">
      <c r="O318" s="411"/>
      <c r="P318" s="411"/>
      <c r="Q318" s="411"/>
      <c r="R318" s="411"/>
      <c r="S318" s="411"/>
      <c r="T318" s="411"/>
      <c r="U318" s="411"/>
      <c r="V318" s="411"/>
      <c r="W318" s="411"/>
      <c r="X318" s="411"/>
      <c r="Y318" s="411"/>
      <c r="Z318" s="411"/>
      <c r="AA318" s="411"/>
      <c r="AB318" s="411"/>
      <c r="AC318" s="411"/>
      <c r="AD318" s="411"/>
      <c r="AE318" s="411"/>
      <c r="AF318" s="411"/>
      <c r="AG318" s="411"/>
    </row>
    <row r="319" ht="14.25" customHeight="1">
      <c r="O319" s="411"/>
      <c r="P319" s="411"/>
      <c r="Q319" s="411"/>
      <c r="R319" s="411"/>
      <c r="S319" s="411"/>
      <c r="T319" s="411"/>
      <c r="U319" s="411"/>
      <c r="V319" s="411"/>
      <c r="W319" s="411"/>
      <c r="X319" s="411"/>
      <c r="Y319" s="411"/>
      <c r="Z319" s="411"/>
      <c r="AA319" s="411"/>
      <c r="AB319" s="411"/>
      <c r="AC319" s="411"/>
      <c r="AD319" s="411"/>
      <c r="AE319" s="411"/>
      <c r="AF319" s="411"/>
      <c r="AG319" s="411"/>
    </row>
    <row r="320" ht="14.25" customHeight="1">
      <c r="O320" s="411"/>
      <c r="P320" s="411"/>
      <c r="Q320" s="411"/>
      <c r="R320" s="411"/>
      <c r="S320" s="411"/>
      <c r="T320" s="411"/>
      <c r="U320" s="411"/>
      <c r="V320" s="411"/>
      <c r="W320" s="411"/>
      <c r="X320" s="411"/>
      <c r="Y320" s="411"/>
      <c r="Z320" s="411"/>
      <c r="AA320" s="411"/>
      <c r="AB320" s="411"/>
      <c r="AC320" s="411"/>
      <c r="AD320" s="411"/>
      <c r="AE320" s="411"/>
      <c r="AF320" s="411"/>
      <c r="AG320" s="411"/>
    </row>
    <row r="321" ht="14.25" customHeight="1">
      <c r="O321" s="411"/>
      <c r="P321" s="411"/>
      <c r="Q321" s="411"/>
      <c r="R321" s="411"/>
      <c r="S321" s="411"/>
      <c r="T321" s="411"/>
      <c r="U321" s="411"/>
      <c r="V321" s="411"/>
      <c r="W321" s="411"/>
      <c r="X321" s="411"/>
      <c r="Y321" s="411"/>
      <c r="Z321" s="411"/>
      <c r="AA321" s="411"/>
      <c r="AB321" s="411"/>
      <c r="AC321" s="411"/>
      <c r="AD321" s="411"/>
      <c r="AE321" s="411"/>
      <c r="AF321" s="411"/>
      <c r="AG321" s="411"/>
    </row>
    <row r="322" ht="14.25" customHeight="1">
      <c r="O322" s="411"/>
      <c r="P322" s="411"/>
      <c r="Q322" s="411"/>
      <c r="R322" s="411"/>
      <c r="S322" s="411"/>
      <c r="T322" s="411"/>
      <c r="U322" s="411"/>
      <c r="V322" s="411"/>
      <c r="W322" s="411"/>
      <c r="X322" s="411"/>
      <c r="Y322" s="411"/>
      <c r="Z322" s="411"/>
      <c r="AA322" s="411"/>
      <c r="AB322" s="411"/>
      <c r="AC322" s="411"/>
      <c r="AD322" s="411"/>
      <c r="AE322" s="411"/>
      <c r="AF322" s="411"/>
      <c r="AG322" s="411"/>
    </row>
    <row r="323" ht="14.25" customHeight="1">
      <c r="O323" s="411"/>
      <c r="P323" s="411"/>
      <c r="Q323" s="411"/>
      <c r="R323" s="411"/>
      <c r="S323" s="411"/>
      <c r="T323" s="411"/>
      <c r="U323" s="411"/>
      <c r="V323" s="411"/>
      <c r="W323" s="411"/>
      <c r="X323" s="411"/>
      <c r="Y323" s="411"/>
      <c r="Z323" s="411"/>
      <c r="AA323" s="411"/>
      <c r="AB323" s="411"/>
      <c r="AC323" s="411"/>
      <c r="AD323" s="411"/>
      <c r="AE323" s="411"/>
      <c r="AF323" s="411"/>
      <c r="AG323" s="411"/>
    </row>
    <row r="324" ht="14.25" customHeight="1">
      <c r="O324" s="411"/>
      <c r="P324" s="411"/>
      <c r="Q324" s="411"/>
      <c r="R324" s="411"/>
      <c r="S324" s="411"/>
      <c r="T324" s="411"/>
      <c r="U324" s="411"/>
      <c r="V324" s="411"/>
      <c r="W324" s="411"/>
      <c r="X324" s="411"/>
      <c r="Y324" s="411"/>
      <c r="Z324" s="411"/>
      <c r="AA324" s="411"/>
      <c r="AB324" s="411"/>
      <c r="AC324" s="411"/>
      <c r="AD324" s="411"/>
      <c r="AE324" s="411"/>
      <c r="AF324" s="411"/>
      <c r="AG324" s="411"/>
    </row>
    <row r="325" ht="14.25" customHeight="1">
      <c r="O325" s="411"/>
      <c r="P325" s="411"/>
      <c r="Q325" s="411"/>
      <c r="R325" s="411"/>
      <c r="S325" s="411"/>
      <c r="T325" s="411"/>
      <c r="U325" s="411"/>
      <c r="V325" s="411"/>
      <c r="W325" s="411"/>
      <c r="X325" s="411"/>
      <c r="Y325" s="411"/>
      <c r="Z325" s="411"/>
      <c r="AA325" s="411"/>
      <c r="AB325" s="411"/>
      <c r="AC325" s="411"/>
      <c r="AD325" s="411"/>
      <c r="AE325" s="411"/>
      <c r="AF325" s="411"/>
      <c r="AG325" s="411"/>
    </row>
    <row r="326" ht="14.25" customHeight="1">
      <c r="O326" s="411"/>
      <c r="P326" s="411"/>
      <c r="Q326" s="411"/>
      <c r="R326" s="411"/>
      <c r="S326" s="411"/>
      <c r="T326" s="411"/>
      <c r="U326" s="411"/>
      <c r="V326" s="411"/>
      <c r="W326" s="411"/>
      <c r="X326" s="411"/>
      <c r="Y326" s="411"/>
      <c r="Z326" s="411"/>
      <c r="AA326" s="411"/>
      <c r="AB326" s="411"/>
      <c r="AC326" s="411"/>
      <c r="AD326" s="411"/>
      <c r="AE326" s="411"/>
      <c r="AF326" s="411"/>
      <c r="AG326" s="411"/>
    </row>
    <row r="327" ht="14.25" customHeight="1">
      <c r="O327" s="411"/>
      <c r="P327" s="411"/>
      <c r="Q327" s="411"/>
      <c r="R327" s="411"/>
      <c r="S327" s="411"/>
      <c r="T327" s="411"/>
      <c r="U327" s="411"/>
      <c r="V327" s="411"/>
      <c r="W327" s="411"/>
      <c r="X327" s="411"/>
      <c r="Y327" s="411"/>
      <c r="Z327" s="411"/>
      <c r="AA327" s="411"/>
      <c r="AB327" s="411"/>
      <c r="AC327" s="411"/>
      <c r="AD327" s="411"/>
      <c r="AE327" s="411"/>
      <c r="AF327" s="411"/>
      <c r="AG327" s="411"/>
    </row>
    <row r="328" ht="14.25" customHeight="1">
      <c r="O328" s="411"/>
      <c r="P328" s="411"/>
      <c r="Q328" s="411"/>
      <c r="R328" s="411"/>
      <c r="S328" s="411"/>
      <c r="T328" s="411"/>
      <c r="U328" s="411"/>
      <c r="V328" s="411"/>
      <c r="W328" s="411"/>
      <c r="X328" s="411"/>
      <c r="Y328" s="411"/>
      <c r="Z328" s="411"/>
      <c r="AA328" s="411"/>
      <c r="AB328" s="411"/>
      <c r="AC328" s="411"/>
      <c r="AD328" s="411"/>
      <c r="AE328" s="411"/>
      <c r="AF328" s="411"/>
      <c r="AG328" s="411"/>
    </row>
    <row r="329" ht="14.25" customHeight="1">
      <c r="O329" s="411"/>
      <c r="P329" s="411"/>
      <c r="Q329" s="411"/>
      <c r="R329" s="411"/>
      <c r="S329" s="411"/>
      <c r="T329" s="411"/>
      <c r="U329" s="411"/>
      <c r="V329" s="411"/>
      <c r="W329" s="411"/>
      <c r="X329" s="411"/>
      <c r="Y329" s="411"/>
      <c r="Z329" s="411"/>
      <c r="AA329" s="411"/>
      <c r="AB329" s="411"/>
      <c r="AC329" s="411"/>
      <c r="AD329" s="411"/>
      <c r="AE329" s="411"/>
      <c r="AF329" s="411"/>
      <c r="AG329" s="411"/>
    </row>
    <row r="330" ht="14.25" customHeight="1">
      <c r="O330" s="411"/>
      <c r="P330" s="411"/>
      <c r="Q330" s="411"/>
      <c r="R330" s="411"/>
      <c r="S330" s="411"/>
      <c r="T330" s="411"/>
      <c r="U330" s="411"/>
      <c r="V330" s="411"/>
      <c r="W330" s="411"/>
      <c r="X330" s="411"/>
      <c r="Y330" s="411"/>
      <c r="Z330" s="411"/>
      <c r="AA330" s="411"/>
      <c r="AB330" s="411"/>
      <c r="AC330" s="411"/>
      <c r="AD330" s="411"/>
      <c r="AE330" s="411"/>
      <c r="AF330" s="411"/>
      <c r="AG330" s="411"/>
    </row>
    <row r="331" ht="14.25" customHeight="1">
      <c r="O331" s="411"/>
      <c r="P331" s="411"/>
      <c r="Q331" s="411"/>
      <c r="R331" s="411"/>
      <c r="S331" s="411"/>
      <c r="T331" s="411"/>
      <c r="U331" s="411"/>
      <c r="V331" s="411"/>
      <c r="W331" s="411"/>
      <c r="X331" s="411"/>
      <c r="Y331" s="411"/>
      <c r="Z331" s="411"/>
      <c r="AA331" s="411"/>
      <c r="AB331" s="411"/>
      <c r="AC331" s="411"/>
      <c r="AD331" s="411"/>
      <c r="AE331" s="411"/>
      <c r="AF331" s="411"/>
      <c r="AG331" s="411"/>
    </row>
    <row r="332" ht="14.25" customHeight="1">
      <c r="O332" s="411"/>
      <c r="P332" s="411"/>
      <c r="Q332" s="411"/>
      <c r="R332" s="411"/>
      <c r="S332" s="411"/>
      <c r="T332" s="411"/>
      <c r="U332" s="411"/>
      <c r="V332" s="411"/>
      <c r="W332" s="411"/>
      <c r="X332" s="411"/>
      <c r="Y332" s="411"/>
      <c r="Z332" s="411"/>
      <c r="AA332" s="411"/>
      <c r="AB332" s="411"/>
      <c r="AC332" s="411"/>
      <c r="AD332" s="411"/>
      <c r="AE332" s="411"/>
      <c r="AF332" s="411"/>
      <c r="AG332" s="411"/>
    </row>
    <row r="333" ht="14.25" customHeight="1">
      <c r="O333" s="411"/>
      <c r="P333" s="411"/>
      <c r="Q333" s="411"/>
      <c r="R333" s="411"/>
      <c r="S333" s="411"/>
      <c r="T333" s="411"/>
      <c r="U333" s="411"/>
      <c r="V333" s="411"/>
      <c r="W333" s="411"/>
      <c r="X333" s="411"/>
      <c r="Y333" s="411"/>
      <c r="Z333" s="411"/>
      <c r="AA333" s="411"/>
      <c r="AB333" s="411"/>
      <c r="AC333" s="411"/>
      <c r="AD333" s="411"/>
      <c r="AE333" s="411"/>
      <c r="AF333" s="411"/>
      <c r="AG333" s="411"/>
    </row>
    <row r="334" ht="14.25" customHeight="1">
      <c r="O334" s="411"/>
      <c r="P334" s="411"/>
      <c r="Q334" s="411"/>
      <c r="R334" s="411"/>
      <c r="S334" s="411"/>
      <c r="T334" s="411"/>
      <c r="U334" s="411"/>
      <c r="V334" s="411"/>
      <c r="W334" s="411"/>
      <c r="X334" s="411"/>
      <c r="Y334" s="411"/>
      <c r="Z334" s="411"/>
      <c r="AA334" s="411"/>
      <c r="AB334" s="411"/>
      <c r="AC334" s="411"/>
      <c r="AD334" s="411"/>
      <c r="AE334" s="411"/>
      <c r="AF334" s="411"/>
      <c r="AG334" s="411"/>
    </row>
    <row r="335" ht="14.25" customHeight="1">
      <c r="O335" s="411"/>
      <c r="P335" s="411"/>
      <c r="Q335" s="411"/>
      <c r="R335" s="411"/>
      <c r="S335" s="411"/>
      <c r="T335" s="411"/>
      <c r="U335" s="411"/>
      <c r="V335" s="411"/>
      <c r="W335" s="411"/>
      <c r="X335" s="411"/>
      <c r="Y335" s="411"/>
      <c r="Z335" s="411"/>
      <c r="AA335" s="411"/>
      <c r="AB335" s="411"/>
      <c r="AC335" s="411"/>
      <c r="AD335" s="411"/>
      <c r="AE335" s="411"/>
      <c r="AF335" s="411"/>
      <c r="AG335" s="411"/>
    </row>
    <row r="336" ht="14.25" customHeight="1">
      <c r="O336" s="411"/>
      <c r="P336" s="411"/>
      <c r="Q336" s="411"/>
      <c r="R336" s="411"/>
      <c r="S336" s="411"/>
      <c r="T336" s="411"/>
      <c r="U336" s="411"/>
      <c r="V336" s="411"/>
      <c r="W336" s="411"/>
      <c r="X336" s="411"/>
      <c r="Y336" s="411"/>
      <c r="Z336" s="411"/>
      <c r="AA336" s="411"/>
      <c r="AB336" s="411"/>
      <c r="AC336" s="411"/>
      <c r="AD336" s="411"/>
      <c r="AE336" s="411"/>
      <c r="AF336" s="411"/>
      <c r="AG336" s="411"/>
    </row>
    <row r="337" ht="14.25" customHeight="1">
      <c r="O337" s="411"/>
      <c r="P337" s="411"/>
      <c r="Q337" s="411"/>
      <c r="R337" s="411"/>
      <c r="S337" s="411"/>
      <c r="T337" s="411"/>
      <c r="U337" s="411"/>
      <c r="V337" s="411"/>
      <c r="W337" s="411"/>
      <c r="X337" s="411"/>
      <c r="Y337" s="411"/>
      <c r="Z337" s="411"/>
      <c r="AA337" s="411"/>
      <c r="AB337" s="411"/>
      <c r="AC337" s="411"/>
      <c r="AD337" s="411"/>
      <c r="AE337" s="411"/>
      <c r="AF337" s="411"/>
      <c r="AG337" s="411"/>
    </row>
    <row r="338" ht="14.25" customHeight="1">
      <c r="O338" s="411"/>
      <c r="P338" s="411"/>
      <c r="Q338" s="411"/>
      <c r="R338" s="411"/>
      <c r="S338" s="411"/>
      <c r="T338" s="411"/>
      <c r="U338" s="411"/>
      <c r="V338" s="411"/>
      <c r="W338" s="411"/>
      <c r="X338" s="411"/>
      <c r="Y338" s="411"/>
      <c r="Z338" s="411"/>
      <c r="AA338" s="411"/>
      <c r="AB338" s="411"/>
      <c r="AC338" s="411"/>
      <c r="AD338" s="411"/>
      <c r="AE338" s="411"/>
      <c r="AF338" s="411"/>
      <c r="AG338" s="411"/>
    </row>
    <row r="339" ht="14.25" customHeight="1">
      <c r="O339" s="411"/>
      <c r="P339" s="411"/>
      <c r="Q339" s="411"/>
      <c r="R339" s="411"/>
      <c r="S339" s="411"/>
      <c r="T339" s="411"/>
      <c r="U339" s="411"/>
      <c r="V339" s="411"/>
      <c r="W339" s="411"/>
      <c r="X339" s="411"/>
      <c r="Y339" s="411"/>
      <c r="Z339" s="411"/>
      <c r="AA339" s="411"/>
      <c r="AB339" s="411"/>
      <c r="AC339" s="411"/>
      <c r="AD339" s="411"/>
      <c r="AE339" s="411"/>
      <c r="AF339" s="411"/>
      <c r="AG339" s="411"/>
    </row>
    <row r="340" ht="14.25" customHeight="1">
      <c r="O340" s="411"/>
      <c r="P340" s="411"/>
      <c r="Q340" s="411"/>
      <c r="R340" s="411"/>
      <c r="S340" s="411"/>
      <c r="T340" s="411"/>
      <c r="U340" s="411"/>
      <c r="V340" s="411"/>
      <c r="W340" s="411"/>
      <c r="X340" s="411"/>
      <c r="Y340" s="411"/>
      <c r="Z340" s="411"/>
      <c r="AA340" s="411"/>
      <c r="AB340" s="411"/>
      <c r="AC340" s="411"/>
      <c r="AD340" s="411"/>
      <c r="AE340" s="411"/>
      <c r="AF340" s="411"/>
      <c r="AG340" s="411"/>
    </row>
    <row r="341" ht="14.25" customHeight="1">
      <c r="O341" s="411"/>
      <c r="P341" s="411"/>
      <c r="Q341" s="411"/>
      <c r="R341" s="411"/>
      <c r="S341" s="411"/>
      <c r="T341" s="411"/>
      <c r="U341" s="411"/>
      <c r="V341" s="411"/>
      <c r="W341" s="411"/>
      <c r="X341" s="411"/>
      <c r="Y341" s="411"/>
      <c r="Z341" s="411"/>
      <c r="AA341" s="411"/>
      <c r="AB341" s="411"/>
      <c r="AC341" s="411"/>
      <c r="AD341" s="411"/>
      <c r="AE341" s="411"/>
      <c r="AF341" s="411"/>
      <c r="AG341" s="411"/>
    </row>
    <row r="342" ht="14.25" customHeight="1">
      <c r="O342" s="411"/>
      <c r="P342" s="411"/>
      <c r="Q342" s="411"/>
      <c r="R342" s="411"/>
      <c r="S342" s="411"/>
      <c r="T342" s="411"/>
      <c r="U342" s="411"/>
      <c r="V342" s="411"/>
      <c r="W342" s="411"/>
      <c r="X342" s="411"/>
      <c r="Y342" s="411"/>
      <c r="Z342" s="411"/>
      <c r="AA342" s="411"/>
      <c r="AB342" s="411"/>
      <c r="AC342" s="411"/>
      <c r="AD342" s="411"/>
      <c r="AE342" s="411"/>
      <c r="AF342" s="411"/>
      <c r="AG342" s="411"/>
    </row>
    <row r="343" ht="14.25" customHeight="1">
      <c r="O343" s="411"/>
      <c r="P343" s="411"/>
      <c r="Q343" s="411"/>
      <c r="R343" s="411"/>
      <c r="S343" s="411"/>
      <c r="T343" s="411"/>
      <c r="U343" s="411"/>
      <c r="V343" s="411"/>
      <c r="W343" s="411"/>
      <c r="X343" s="411"/>
      <c r="Y343" s="411"/>
      <c r="Z343" s="411"/>
      <c r="AA343" s="411"/>
      <c r="AB343" s="411"/>
      <c r="AC343" s="411"/>
      <c r="AD343" s="411"/>
      <c r="AE343" s="411"/>
      <c r="AF343" s="411"/>
      <c r="AG343" s="411"/>
    </row>
    <row r="344" ht="14.25" customHeight="1">
      <c r="O344" s="411"/>
      <c r="P344" s="411"/>
      <c r="Q344" s="411"/>
      <c r="R344" s="411"/>
      <c r="S344" s="411"/>
      <c r="T344" s="411"/>
      <c r="U344" s="411"/>
      <c r="V344" s="411"/>
      <c r="W344" s="411"/>
      <c r="X344" s="411"/>
      <c r="Y344" s="411"/>
      <c r="Z344" s="411"/>
      <c r="AA344" s="411"/>
      <c r="AB344" s="411"/>
      <c r="AC344" s="411"/>
      <c r="AD344" s="411"/>
      <c r="AE344" s="411"/>
      <c r="AF344" s="411"/>
      <c r="AG344" s="411"/>
    </row>
    <row r="345" ht="14.25" customHeight="1">
      <c r="O345" s="411"/>
      <c r="P345" s="411"/>
      <c r="Q345" s="411"/>
      <c r="R345" s="411"/>
      <c r="S345" s="411"/>
      <c r="T345" s="411"/>
      <c r="U345" s="411"/>
      <c r="V345" s="411"/>
      <c r="W345" s="411"/>
      <c r="X345" s="411"/>
      <c r="Y345" s="411"/>
      <c r="Z345" s="411"/>
      <c r="AA345" s="411"/>
      <c r="AB345" s="411"/>
      <c r="AC345" s="411"/>
      <c r="AD345" s="411"/>
      <c r="AE345" s="411"/>
      <c r="AF345" s="411"/>
      <c r="AG345" s="411"/>
    </row>
    <row r="346" ht="14.25" customHeight="1">
      <c r="O346" s="411"/>
      <c r="P346" s="411"/>
      <c r="Q346" s="411"/>
      <c r="R346" s="411"/>
      <c r="S346" s="411"/>
      <c r="T346" s="411"/>
      <c r="U346" s="411"/>
      <c r="V346" s="411"/>
      <c r="W346" s="411"/>
      <c r="X346" s="411"/>
      <c r="Y346" s="411"/>
      <c r="Z346" s="411"/>
      <c r="AA346" s="411"/>
      <c r="AB346" s="411"/>
      <c r="AC346" s="411"/>
      <c r="AD346" s="411"/>
      <c r="AE346" s="411"/>
      <c r="AF346" s="411"/>
      <c r="AG346" s="411"/>
    </row>
    <row r="347" ht="14.25" customHeight="1">
      <c r="O347" s="411"/>
      <c r="P347" s="411"/>
      <c r="Q347" s="411"/>
      <c r="R347" s="411"/>
      <c r="S347" s="411"/>
      <c r="T347" s="411"/>
      <c r="U347" s="411"/>
      <c r="V347" s="411"/>
      <c r="W347" s="411"/>
      <c r="X347" s="411"/>
      <c r="Y347" s="411"/>
      <c r="Z347" s="411"/>
      <c r="AA347" s="411"/>
      <c r="AB347" s="411"/>
      <c r="AC347" s="411"/>
      <c r="AD347" s="411"/>
      <c r="AE347" s="411"/>
      <c r="AF347" s="411"/>
      <c r="AG347" s="411"/>
    </row>
    <row r="348" ht="14.25" customHeight="1">
      <c r="O348" s="411"/>
      <c r="P348" s="411"/>
      <c r="Q348" s="411"/>
      <c r="R348" s="411"/>
      <c r="S348" s="411"/>
      <c r="T348" s="411"/>
      <c r="U348" s="411"/>
      <c r="V348" s="411"/>
      <c r="W348" s="411"/>
      <c r="X348" s="411"/>
      <c r="Y348" s="411"/>
      <c r="Z348" s="411"/>
      <c r="AA348" s="411"/>
      <c r="AB348" s="411"/>
      <c r="AC348" s="411"/>
      <c r="AD348" s="411"/>
      <c r="AE348" s="411"/>
      <c r="AF348" s="411"/>
      <c r="AG348" s="411"/>
    </row>
    <row r="349" ht="14.25" customHeight="1">
      <c r="O349" s="411"/>
      <c r="P349" s="411"/>
      <c r="Q349" s="411"/>
      <c r="R349" s="411"/>
      <c r="S349" s="411"/>
      <c r="T349" s="411"/>
      <c r="U349" s="411"/>
      <c r="V349" s="411"/>
      <c r="W349" s="411"/>
      <c r="X349" s="411"/>
      <c r="Y349" s="411"/>
      <c r="Z349" s="411"/>
      <c r="AA349" s="411"/>
      <c r="AB349" s="411"/>
      <c r="AC349" s="411"/>
      <c r="AD349" s="411"/>
      <c r="AE349" s="411"/>
      <c r="AF349" s="411"/>
      <c r="AG349" s="411"/>
    </row>
    <row r="350" ht="14.25" customHeight="1">
      <c r="O350" s="411"/>
      <c r="P350" s="411"/>
      <c r="Q350" s="411"/>
      <c r="R350" s="411"/>
      <c r="S350" s="411"/>
      <c r="T350" s="411"/>
      <c r="U350" s="411"/>
      <c r="V350" s="411"/>
      <c r="W350" s="411"/>
      <c r="X350" s="411"/>
      <c r="Y350" s="411"/>
      <c r="Z350" s="411"/>
      <c r="AA350" s="411"/>
      <c r="AB350" s="411"/>
      <c r="AC350" s="411"/>
      <c r="AD350" s="411"/>
      <c r="AE350" s="411"/>
      <c r="AF350" s="411"/>
      <c r="AG350" s="411"/>
    </row>
    <row r="351" ht="14.25" customHeight="1">
      <c r="O351" s="411"/>
      <c r="P351" s="411"/>
      <c r="Q351" s="411"/>
      <c r="R351" s="411"/>
      <c r="S351" s="411"/>
      <c r="T351" s="411"/>
      <c r="U351" s="411"/>
      <c r="V351" s="411"/>
      <c r="W351" s="411"/>
      <c r="X351" s="411"/>
      <c r="Y351" s="411"/>
      <c r="Z351" s="411"/>
      <c r="AA351" s="411"/>
      <c r="AB351" s="411"/>
      <c r="AC351" s="411"/>
      <c r="AD351" s="411"/>
      <c r="AE351" s="411"/>
      <c r="AF351" s="411"/>
      <c r="AG351" s="411"/>
    </row>
    <row r="352" ht="14.25" customHeight="1">
      <c r="O352" s="411"/>
      <c r="P352" s="411"/>
      <c r="Q352" s="411"/>
      <c r="R352" s="411"/>
      <c r="S352" s="411"/>
      <c r="T352" s="411"/>
      <c r="U352" s="411"/>
      <c r="V352" s="411"/>
      <c r="W352" s="411"/>
      <c r="X352" s="411"/>
      <c r="Y352" s="411"/>
      <c r="Z352" s="411"/>
      <c r="AA352" s="411"/>
      <c r="AB352" s="411"/>
      <c r="AC352" s="411"/>
      <c r="AD352" s="411"/>
      <c r="AE352" s="411"/>
      <c r="AF352" s="411"/>
      <c r="AG352" s="411"/>
    </row>
    <row r="353" ht="14.25" customHeight="1">
      <c r="O353" s="411"/>
      <c r="P353" s="411"/>
      <c r="Q353" s="411"/>
      <c r="R353" s="411"/>
      <c r="S353" s="411"/>
      <c r="T353" s="411"/>
      <c r="U353" s="411"/>
      <c r="V353" s="411"/>
      <c r="W353" s="411"/>
      <c r="X353" s="411"/>
      <c r="Y353" s="411"/>
      <c r="Z353" s="411"/>
      <c r="AA353" s="411"/>
      <c r="AB353" s="411"/>
      <c r="AC353" s="411"/>
      <c r="AD353" s="411"/>
      <c r="AE353" s="411"/>
      <c r="AF353" s="411"/>
      <c r="AG353" s="411"/>
    </row>
    <row r="354" ht="14.25" customHeight="1">
      <c r="O354" s="411"/>
      <c r="P354" s="411"/>
      <c r="Q354" s="411"/>
      <c r="R354" s="411"/>
      <c r="S354" s="411"/>
      <c r="T354" s="411"/>
      <c r="U354" s="411"/>
      <c r="V354" s="411"/>
      <c r="W354" s="411"/>
      <c r="X354" s="411"/>
      <c r="Y354" s="411"/>
      <c r="Z354" s="411"/>
      <c r="AA354" s="411"/>
      <c r="AB354" s="411"/>
      <c r="AC354" s="411"/>
      <c r="AD354" s="411"/>
      <c r="AE354" s="411"/>
      <c r="AF354" s="411"/>
      <c r="AG354" s="411"/>
    </row>
    <row r="355" ht="14.25" customHeight="1">
      <c r="O355" s="411"/>
      <c r="P355" s="411"/>
      <c r="Q355" s="411"/>
      <c r="R355" s="411"/>
      <c r="S355" s="411"/>
      <c r="T355" s="411"/>
      <c r="U355" s="411"/>
      <c r="V355" s="411"/>
      <c r="W355" s="411"/>
      <c r="X355" s="411"/>
      <c r="Y355" s="411"/>
      <c r="Z355" s="411"/>
      <c r="AA355" s="411"/>
      <c r="AB355" s="411"/>
      <c r="AC355" s="411"/>
      <c r="AD355" s="411"/>
      <c r="AE355" s="411"/>
      <c r="AF355" s="411"/>
      <c r="AG355" s="411"/>
    </row>
    <row r="356" ht="14.25" customHeight="1">
      <c r="O356" s="411"/>
      <c r="P356" s="411"/>
      <c r="Q356" s="411"/>
      <c r="R356" s="411"/>
      <c r="S356" s="411"/>
      <c r="T356" s="411"/>
      <c r="U356" s="411"/>
      <c r="V356" s="411"/>
      <c r="W356" s="411"/>
      <c r="X356" s="411"/>
      <c r="Y356" s="411"/>
      <c r="Z356" s="411"/>
      <c r="AA356" s="411"/>
      <c r="AB356" s="411"/>
      <c r="AC356" s="411"/>
      <c r="AD356" s="411"/>
      <c r="AE356" s="411"/>
      <c r="AF356" s="411"/>
      <c r="AG356" s="411"/>
    </row>
    <row r="357" ht="14.25" customHeight="1">
      <c r="O357" s="411"/>
      <c r="P357" s="411"/>
      <c r="Q357" s="411"/>
      <c r="R357" s="411"/>
      <c r="S357" s="411"/>
      <c r="T357" s="411"/>
      <c r="U357" s="411"/>
      <c r="V357" s="411"/>
      <c r="W357" s="411"/>
      <c r="X357" s="411"/>
      <c r="Y357" s="411"/>
      <c r="Z357" s="411"/>
      <c r="AA357" s="411"/>
      <c r="AB357" s="411"/>
      <c r="AC357" s="411"/>
      <c r="AD357" s="411"/>
      <c r="AE357" s="411"/>
      <c r="AF357" s="411"/>
      <c r="AG357" s="411"/>
    </row>
    <row r="358" ht="14.25" customHeight="1">
      <c r="O358" s="411"/>
      <c r="P358" s="411"/>
      <c r="Q358" s="411"/>
      <c r="R358" s="411"/>
      <c r="S358" s="411"/>
      <c r="T358" s="411"/>
      <c r="U358" s="411"/>
      <c r="V358" s="411"/>
      <c r="W358" s="411"/>
      <c r="X358" s="411"/>
      <c r="Y358" s="411"/>
      <c r="Z358" s="411"/>
      <c r="AA358" s="411"/>
      <c r="AB358" s="411"/>
      <c r="AC358" s="411"/>
      <c r="AD358" s="411"/>
      <c r="AE358" s="411"/>
      <c r="AF358" s="411"/>
      <c r="AG358" s="411"/>
    </row>
    <row r="359" ht="14.25" customHeight="1">
      <c r="O359" s="411"/>
      <c r="P359" s="411"/>
      <c r="Q359" s="411"/>
      <c r="R359" s="411"/>
      <c r="S359" s="411"/>
      <c r="T359" s="411"/>
      <c r="U359" s="411"/>
      <c r="V359" s="411"/>
      <c r="W359" s="411"/>
      <c r="X359" s="411"/>
      <c r="Y359" s="411"/>
      <c r="Z359" s="411"/>
      <c r="AA359" s="411"/>
      <c r="AB359" s="411"/>
      <c r="AC359" s="411"/>
      <c r="AD359" s="411"/>
      <c r="AE359" s="411"/>
      <c r="AF359" s="411"/>
      <c r="AG359" s="411"/>
    </row>
    <row r="360" ht="14.25" customHeight="1">
      <c r="O360" s="411"/>
      <c r="P360" s="411"/>
      <c r="Q360" s="411"/>
      <c r="R360" s="411"/>
      <c r="S360" s="411"/>
      <c r="T360" s="411"/>
      <c r="U360" s="411"/>
      <c r="V360" s="411"/>
      <c r="W360" s="411"/>
      <c r="X360" s="411"/>
      <c r="Y360" s="411"/>
      <c r="Z360" s="411"/>
      <c r="AA360" s="411"/>
      <c r="AB360" s="411"/>
      <c r="AC360" s="411"/>
      <c r="AD360" s="411"/>
      <c r="AE360" s="411"/>
      <c r="AF360" s="411"/>
      <c r="AG360" s="411"/>
    </row>
    <row r="361" ht="14.25" customHeight="1">
      <c r="O361" s="411"/>
      <c r="P361" s="411"/>
      <c r="Q361" s="411"/>
      <c r="R361" s="411"/>
      <c r="S361" s="411"/>
      <c r="T361" s="411"/>
      <c r="U361" s="411"/>
      <c r="V361" s="411"/>
      <c r="W361" s="411"/>
      <c r="X361" s="411"/>
      <c r="Y361" s="411"/>
      <c r="Z361" s="411"/>
      <c r="AA361" s="411"/>
      <c r="AB361" s="411"/>
      <c r="AC361" s="411"/>
      <c r="AD361" s="411"/>
      <c r="AE361" s="411"/>
      <c r="AF361" s="411"/>
      <c r="AG361" s="411"/>
    </row>
    <row r="362" ht="14.25" customHeight="1">
      <c r="O362" s="411"/>
      <c r="P362" s="411"/>
      <c r="Q362" s="411"/>
      <c r="R362" s="411"/>
      <c r="S362" s="411"/>
      <c r="T362" s="411"/>
      <c r="U362" s="411"/>
      <c r="V362" s="411"/>
      <c r="W362" s="411"/>
      <c r="X362" s="411"/>
      <c r="Y362" s="411"/>
      <c r="Z362" s="411"/>
      <c r="AA362" s="411"/>
      <c r="AB362" s="411"/>
      <c r="AC362" s="411"/>
      <c r="AD362" s="411"/>
      <c r="AE362" s="411"/>
      <c r="AF362" s="411"/>
      <c r="AG362" s="411"/>
    </row>
    <row r="363" ht="14.25" customHeight="1">
      <c r="O363" s="411"/>
      <c r="P363" s="411"/>
      <c r="Q363" s="411"/>
      <c r="R363" s="411"/>
      <c r="S363" s="411"/>
      <c r="T363" s="411"/>
      <c r="U363" s="411"/>
      <c r="V363" s="411"/>
      <c r="W363" s="411"/>
      <c r="X363" s="411"/>
      <c r="Y363" s="411"/>
      <c r="Z363" s="411"/>
      <c r="AA363" s="411"/>
      <c r="AB363" s="411"/>
      <c r="AC363" s="411"/>
      <c r="AD363" s="411"/>
      <c r="AE363" s="411"/>
      <c r="AF363" s="411"/>
      <c r="AG363" s="411"/>
    </row>
    <row r="364" ht="14.25" customHeight="1">
      <c r="O364" s="411"/>
      <c r="P364" s="411"/>
      <c r="Q364" s="411"/>
      <c r="R364" s="411"/>
      <c r="S364" s="411"/>
      <c r="T364" s="411"/>
      <c r="U364" s="411"/>
      <c r="V364" s="411"/>
      <c r="W364" s="411"/>
      <c r="X364" s="411"/>
      <c r="Y364" s="411"/>
      <c r="Z364" s="411"/>
      <c r="AA364" s="411"/>
      <c r="AB364" s="411"/>
      <c r="AC364" s="411"/>
      <c r="AD364" s="411"/>
      <c r="AE364" s="411"/>
      <c r="AF364" s="411"/>
      <c r="AG364" s="411"/>
    </row>
    <row r="365" ht="14.25" customHeight="1">
      <c r="O365" s="411"/>
      <c r="P365" s="411"/>
      <c r="Q365" s="411"/>
      <c r="R365" s="411"/>
      <c r="S365" s="411"/>
      <c r="T365" s="411"/>
      <c r="U365" s="411"/>
      <c r="V365" s="411"/>
      <c r="W365" s="411"/>
      <c r="X365" s="411"/>
      <c r="Y365" s="411"/>
      <c r="Z365" s="411"/>
      <c r="AA365" s="411"/>
      <c r="AB365" s="411"/>
      <c r="AC365" s="411"/>
      <c r="AD365" s="411"/>
      <c r="AE365" s="411"/>
      <c r="AF365" s="411"/>
      <c r="AG365" s="411"/>
    </row>
    <row r="366" ht="14.25" customHeight="1">
      <c r="O366" s="411"/>
      <c r="P366" s="411"/>
      <c r="Q366" s="411"/>
      <c r="R366" s="411"/>
      <c r="S366" s="411"/>
      <c r="T366" s="411"/>
      <c r="U366" s="411"/>
      <c r="V366" s="411"/>
      <c r="W366" s="411"/>
      <c r="X366" s="411"/>
      <c r="Y366" s="411"/>
      <c r="Z366" s="411"/>
      <c r="AA366" s="411"/>
      <c r="AB366" s="411"/>
      <c r="AC366" s="411"/>
      <c r="AD366" s="411"/>
      <c r="AE366" s="411"/>
      <c r="AF366" s="411"/>
      <c r="AG366" s="411"/>
    </row>
    <row r="367" ht="14.25" customHeight="1">
      <c r="O367" s="411"/>
      <c r="P367" s="411"/>
      <c r="Q367" s="411"/>
      <c r="R367" s="411"/>
      <c r="S367" s="411"/>
      <c r="T367" s="411"/>
      <c r="U367" s="411"/>
      <c r="V367" s="411"/>
      <c r="W367" s="411"/>
      <c r="X367" s="411"/>
      <c r="Y367" s="411"/>
      <c r="Z367" s="411"/>
      <c r="AA367" s="411"/>
      <c r="AB367" s="411"/>
      <c r="AC367" s="411"/>
      <c r="AD367" s="411"/>
      <c r="AE367" s="411"/>
      <c r="AF367" s="411"/>
      <c r="AG367" s="411"/>
    </row>
    <row r="368" ht="14.25" customHeight="1">
      <c r="O368" s="411"/>
      <c r="P368" s="411"/>
      <c r="Q368" s="411"/>
      <c r="R368" s="411"/>
      <c r="S368" s="411"/>
      <c r="T368" s="411"/>
      <c r="U368" s="411"/>
      <c r="V368" s="411"/>
      <c r="W368" s="411"/>
      <c r="X368" s="411"/>
      <c r="Y368" s="411"/>
      <c r="Z368" s="411"/>
      <c r="AA368" s="411"/>
      <c r="AB368" s="411"/>
      <c r="AC368" s="411"/>
      <c r="AD368" s="411"/>
      <c r="AE368" s="411"/>
      <c r="AF368" s="411"/>
      <c r="AG368" s="411"/>
    </row>
    <row r="369" ht="14.25" customHeight="1">
      <c r="O369" s="411"/>
      <c r="P369" s="411"/>
      <c r="Q369" s="411"/>
      <c r="R369" s="411"/>
      <c r="S369" s="411"/>
      <c r="T369" s="411"/>
      <c r="U369" s="411"/>
      <c r="V369" s="411"/>
      <c r="W369" s="411"/>
      <c r="X369" s="411"/>
      <c r="Y369" s="411"/>
      <c r="Z369" s="411"/>
      <c r="AA369" s="411"/>
      <c r="AB369" s="411"/>
      <c r="AC369" s="411"/>
      <c r="AD369" s="411"/>
      <c r="AE369" s="411"/>
      <c r="AF369" s="411"/>
      <c r="AG369" s="411"/>
    </row>
    <row r="370" ht="14.25" customHeight="1">
      <c r="O370" s="411"/>
      <c r="P370" s="411"/>
      <c r="Q370" s="411"/>
      <c r="R370" s="411"/>
      <c r="S370" s="411"/>
      <c r="T370" s="411"/>
      <c r="U370" s="411"/>
      <c r="V370" s="411"/>
      <c r="W370" s="411"/>
      <c r="X370" s="411"/>
      <c r="Y370" s="411"/>
      <c r="Z370" s="411"/>
      <c r="AA370" s="411"/>
      <c r="AB370" s="411"/>
      <c r="AC370" s="411"/>
      <c r="AD370" s="411"/>
      <c r="AE370" s="411"/>
      <c r="AF370" s="411"/>
      <c r="AG370" s="411"/>
    </row>
    <row r="371" ht="14.25" customHeight="1">
      <c r="O371" s="411"/>
      <c r="P371" s="411"/>
      <c r="Q371" s="411"/>
      <c r="R371" s="411"/>
      <c r="S371" s="411"/>
      <c r="T371" s="411"/>
      <c r="U371" s="411"/>
      <c r="V371" s="411"/>
      <c r="W371" s="411"/>
      <c r="X371" s="411"/>
      <c r="Y371" s="411"/>
      <c r="Z371" s="411"/>
      <c r="AA371" s="411"/>
      <c r="AB371" s="411"/>
      <c r="AC371" s="411"/>
      <c r="AD371" s="411"/>
      <c r="AE371" s="411"/>
      <c r="AF371" s="411"/>
      <c r="AG371" s="411"/>
    </row>
    <row r="372" ht="14.25" customHeight="1">
      <c r="O372" s="411"/>
      <c r="P372" s="411"/>
      <c r="Q372" s="411"/>
      <c r="R372" s="411"/>
      <c r="S372" s="411"/>
      <c r="T372" s="411"/>
      <c r="U372" s="411"/>
      <c r="V372" s="411"/>
      <c r="W372" s="411"/>
      <c r="X372" s="411"/>
      <c r="Y372" s="411"/>
      <c r="Z372" s="411"/>
      <c r="AA372" s="411"/>
      <c r="AB372" s="411"/>
      <c r="AC372" s="411"/>
      <c r="AD372" s="411"/>
      <c r="AE372" s="411"/>
      <c r="AF372" s="411"/>
      <c r="AG372" s="411"/>
    </row>
    <row r="373" ht="14.25" customHeight="1">
      <c r="O373" s="411"/>
      <c r="P373" s="411"/>
      <c r="Q373" s="411"/>
      <c r="R373" s="411"/>
      <c r="S373" s="411"/>
      <c r="T373" s="411"/>
      <c r="U373" s="411"/>
      <c r="V373" s="411"/>
      <c r="W373" s="411"/>
      <c r="X373" s="411"/>
      <c r="Y373" s="411"/>
      <c r="Z373" s="411"/>
      <c r="AA373" s="411"/>
      <c r="AB373" s="411"/>
      <c r="AC373" s="411"/>
      <c r="AD373" s="411"/>
      <c r="AE373" s="411"/>
      <c r="AF373" s="411"/>
      <c r="AG373" s="411"/>
    </row>
    <row r="374" ht="14.25" customHeight="1">
      <c r="O374" s="411"/>
      <c r="P374" s="411"/>
      <c r="Q374" s="411"/>
      <c r="R374" s="411"/>
      <c r="S374" s="411"/>
      <c r="T374" s="411"/>
      <c r="U374" s="411"/>
      <c r="V374" s="411"/>
      <c r="W374" s="411"/>
      <c r="X374" s="411"/>
      <c r="Y374" s="411"/>
      <c r="Z374" s="411"/>
      <c r="AA374" s="411"/>
      <c r="AB374" s="411"/>
      <c r="AC374" s="411"/>
      <c r="AD374" s="411"/>
      <c r="AE374" s="411"/>
      <c r="AF374" s="411"/>
      <c r="AG374" s="411"/>
    </row>
    <row r="375" ht="14.25" customHeight="1">
      <c r="O375" s="411"/>
      <c r="P375" s="411"/>
      <c r="Q375" s="411"/>
      <c r="R375" s="411"/>
      <c r="S375" s="411"/>
      <c r="T375" s="411"/>
      <c r="U375" s="411"/>
      <c r="V375" s="411"/>
      <c r="W375" s="411"/>
      <c r="X375" s="411"/>
      <c r="Y375" s="411"/>
      <c r="Z375" s="411"/>
      <c r="AA375" s="411"/>
      <c r="AB375" s="411"/>
      <c r="AC375" s="411"/>
      <c r="AD375" s="411"/>
      <c r="AE375" s="411"/>
      <c r="AF375" s="411"/>
      <c r="AG375" s="411"/>
    </row>
    <row r="376" ht="14.25" customHeight="1">
      <c r="O376" s="411"/>
      <c r="P376" s="411"/>
      <c r="Q376" s="411"/>
      <c r="R376" s="411"/>
      <c r="S376" s="411"/>
      <c r="T376" s="411"/>
      <c r="U376" s="411"/>
      <c r="V376" s="411"/>
      <c r="W376" s="411"/>
      <c r="X376" s="411"/>
      <c r="Y376" s="411"/>
      <c r="Z376" s="411"/>
      <c r="AA376" s="411"/>
      <c r="AB376" s="411"/>
      <c r="AC376" s="411"/>
      <c r="AD376" s="411"/>
      <c r="AE376" s="411"/>
      <c r="AF376" s="411"/>
      <c r="AG376" s="411"/>
    </row>
    <row r="377" ht="14.25" customHeight="1">
      <c r="O377" s="411"/>
      <c r="P377" s="411"/>
      <c r="Q377" s="411"/>
      <c r="R377" s="411"/>
      <c r="S377" s="411"/>
      <c r="T377" s="411"/>
      <c r="U377" s="411"/>
      <c r="V377" s="411"/>
      <c r="W377" s="411"/>
      <c r="X377" s="411"/>
      <c r="Y377" s="411"/>
      <c r="Z377" s="411"/>
      <c r="AA377" s="411"/>
      <c r="AB377" s="411"/>
      <c r="AC377" s="411"/>
      <c r="AD377" s="411"/>
      <c r="AE377" s="411"/>
      <c r="AF377" s="411"/>
      <c r="AG377" s="411"/>
    </row>
    <row r="378" ht="14.25" customHeight="1">
      <c r="O378" s="411"/>
      <c r="P378" s="411"/>
      <c r="Q378" s="411"/>
      <c r="R378" s="411"/>
      <c r="S378" s="411"/>
      <c r="T378" s="411"/>
      <c r="U378" s="411"/>
      <c r="V378" s="411"/>
      <c r="W378" s="411"/>
      <c r="X378" s="411"/>
      <c r="Y378" s="411"/>
      <c r="Z378" s="411"/>
      <c r="AA378" s="411"/>
      <c r="AB378" s="411"/>
      <c r="AC378" s="411"/>
      <c r="AD378" s="411"/>
      <c r="AE378" s="411"/>
      <c r="AF378" s="411"/>
      <c r="AG378" s="411"/>
    </row>
    <row r="379" ht="14.25" customHeight="1">
      <c r="O379" s="411"/>
      <c r="P379" s="411"/>
      <c r="Q379" s="411"/>
      <c r="R379" s="411"/>
      <c r="S379" s="411"/>
      <c r="T379" s="411"/>
      <c r="U379" s="411"/>
      <c r="V379" s="411"/>
      <c r="W379" s="411"/>
      <c r="X379" s="411"/>
      <c r="Y379" s="411"/>
      <c r="Z379" s="411"/>
      <c r="AA379" s="411"/>
      <c r="AB379" s="411"/>
      <c r="AC379" s="411"/>
      <c r="AD379" s="411"/>
      <c r="AE379" s="411"/>
      <c r="AF379" s="411"/>
      <c r="AG379" s="411"/>
    </row>
    <row r="380" ht="14.25" customHeight="1">
      <c r="O380" s="411"/>
      <c r="P380" s="411"/>
      <c r="Q380" s="411"/>
      <c r="R380" s="411"/>
      <c r="S380" s="411"/>
      <c r="T380" s="411"/>
      <c r="U380" s="411"/>
      <c r="V380" s="411"/>
      <c r="W380" s="411"/>
      <c r="X380" s="411"/>
      <c r="Y380" s="411"/>
      <c r="Z380" s="411"/>
      <c r="AA380" s="411"/>
      <c r="AB380" s="411"/>
      <c r="AC380" s="411"/>
      <c r="AD380" s="411"/>
      <c r="AE380" s="411"/>
      <c r="AF380" s="411"/>
      <c r="AG380" s="411"/>
    </row>
    <row r="381" ht="14.25" customHeight="1">
      <c r="O381" s="411"/>
      <c r="P381" s="411"/>
      <c r="Q381" s="411"/>
      <c r="R381" s="411"/>
      <c r="S381" s="411"/>
      <c r="T381" s="411"/>
      <c r="U381" s="411"/>
      <c r="V381" s="411"/>
      <c r="W381" s="411"/>
      <c r="X381" s="411"/>
      <c r="Y381" s="411"/>
      <c r="Z381" s="411"/>
      <c r="AA381" s="411"/>
      <c r="AB381" s="411"/>
      <c r="AC381" s="411"/>
      <c r="AD381" s="411"/>
      <c r="AE381" s="411"/>
      <c r="AF381" s="411"/>
      <c r="AG381" s="411"/>
    </row>
    <row r="382" ht="14.25" customHeight="1">
      <c r="O382" s="411"/>
      <c r="P382" s="411"/>
      <c r="Q382" s="411"/>
      <c r="R382" s="411"/>
      <c r="S382" s="411"/>
      <c r="T382" s="411"/>
      <c r="U382" s="411"/>
      <c r="V382" s="411"/>
      <c r="W382" s="411"/>
      <c r="X382" s="411"/>
      <c r="Y382" s="411"/>
      <c r="Z382" s="411"/>
      <c r="AA382" s="411"/>
      <c r="AB382" s="411"/>
      <c r="AC382" s="411"/>
      <c r="AD382" s="411"/>
      <c r="AE382" s="411"/>
      <c r="AF382" s="411"/>
      <c r="AG382" s="411"/>
    </row>
    <row r="383" ht="14.25" customHeight="1">
      <c r="O383" s="411"/>
      <c r="P383" s="411"/>
      <c r="Q383" s="411"/>
      <c r="R383" s="411"/>
      <c r="S383" s="411"/>
      <c r="T383" s="411"/>
      <c r="U383" s="411"/>
      <c r="V383" s="411"/>
      <c r="W383" s="411"/>
      <c r="X383" s="411"/>
      <c r="Y383" s="411"/>
      <c r="Z383" s="411"/>
      <c r="AA383" s="411"/>
      <c r="AB383" s="411"/>
      <c r="AC383" s="411"/>
      <c r="AD383" s="411"/>
      <c r="AE383" s="411"/>
      <c r="AF383" s="411"/>
      <c r="AG383" s="411"/>
    </row>
    <row r="384" ht="14.25" customHeight="1">
      <c r="O384" s="411"/>
      <c r="P384" s="411"/>
      <c r="Q384" s="411"/>
      <c r="R384" s="411"/>
      <c r="S384" s="411"/>
      <c r="T384" s="411"/>
      <c r="U384" s="411"/>
      <c r="V384" s="411"/>
      <c r="W384" s="411"/>
      <c r="X384" s="411"/>
      <c r="Y384" s="411"/>
      <c r="Z384" s="411"/>
      <c r="AA384" s="411"/>
      <c r="AB384" s="411"/>
      <c r="AC384" s="411"/>
      <c r="AD384" s="411"/>
      <c r="AE384" s="411"/>
      <c r="AF384" s="411"/>
      <c r="AG384" s="411"/>
    </row>
    <row r="385" ht="14.25" customHeight="1">
      <c r="O385" s="411"/>
      <c r="P385" s="411"/>
      <c r="Q385" s="411"/>
      <c r="R385" s="411"/>
      <c r="S385" s="411"/>
      <c r="T385" s="411"/>
      <c r="U385" s="411"/>
      <c r="V385" s="411"/>
      <c r="W385" s="411"/>
      <c r="X385" s="411"/>
      <c r="Y385" s="411"/>
      <c r="Z385" s="411"/>
      <c r="AA385" s="411"/>
      <c r="AB385" s="411"/>
      <c r="AC385" s="411"/>
      <c r="AD385" s="411"/>
      <c r="AE385" s="411"/>
      <c r="AF385" s="411"/>
      <c r="AG385" s="411"/>
    </row>
    <row r="386" ht="14.25" customHeight="1">
      <c r="O386" s="411"/>
      <c r="P386" s="411"/>
      <c r="Q386" s="411"/>
      <c r="R386" s="411"/>
      <c r="S386" s="411"/>
      <c r="T386" s="411"/>
      <c r="U386" s="411"/>
      <c r="V386" s="411"/>
      <c r="W386" s="411"/>
      <c r="X386" s="411"/>
      <c r="Y386" s="411"/>
      <c r="Z386" s="411"/>
      <c r="AA386" s="411"/>
      <c r="AB386" s="411"/>
      <c r="AC386" s="411"/>
      <c r="AD386" s="411"/>
      <c r="AE386" s="411"/>
      <c r="AF386" s="411"/>
      <c r="AG386" s="411"/>
    </row>
    <row r="387" ht="14.25" customHeight="1">
      <c r="O387" s="411"/>
      <c r="P387" s="411"/>
      <c r="Q387" s="411"/>
      <c r="R387" s="411"/>
      <c r="S387" s="411"/>
      <c r="T387" s="411"/>
      <c r="U387" s="411"/>
      <c r="V387" s="411"/>
      <c r="W387" s="411"/>
      <c r="X387" s="411"/>
      <c r="Y387" s="411"/>
      <c r="Z387" s="411"/>
      <c r="AA387" s="411"/>
      <c r="AB387" s="411"/>
      <c r="AC387" s="411"/>
      <c r="AD387" s="411"/>
      <c r="AE387" s="411"/>
      <c r="AF387" s="411"/>
      <c r="AG387" s="411"/>
    </row>
    <row r="388" ht="14.25" customHeight="1">
      <c r="O388" s="411"/>
      <c r="P388" s="411"/>
      <c r="Q388" s="411"/>
      <c r="R388" s="411"/>
      <c r="S388" s="411"/>
      <c r="T388" s="411"/>
      <c r="U388" s="411"/>
      <c r="V388" s="411"/>
      <c r="W388" s="411"/>
      <c r="X388" s="411"/>
      <c r="Y388" s="411"/>
      <c r="Z388" s="411"/>
      <c r="AA388" s="411"/>
      <c r="AB388" s="411"/>
      <c r="AC388" s="411"/>
      <c r="AD388" s="411"/>
      <c r="AE388" s="411"/>
      <c r="AF388" s="411"/>
      <c r="AG388" s="411"/>
    </row>
    <row r="389" ht="14.25" customHeight="1">
      <c r="O389" s="411"/>
      <c r="P389" s="411"/>
      <c r="Q389" s="411"/>
      <c r="R389" s="411"/>
      <c r="S389" s="411"/>
      <c r="T389" s="411"/>
      <c r="U389" s="411"/>
      <c r="V389" s="411"/>
      <c r="W389" s="411"/>
      <c r="X389" s="411"/>
      <c r="Y389" s="411"/>
      <c r="Z389" s="411"/>
      <c r="AA389" s="411"/>
      <c r="AB389" s="411"/>
      <c r="AC389" s="411"/>
      <c r="AD389" s="411"/>
      <c r="AE389" s="411"/>
      <c r="AF389" s="411"/>
      <c r="AG389" s="411"/>
    </row>
    <row r="390" ht="14.25" customHeight="1">
      <c r="O390" s="411"/>
      <c r="P390" s="411"/>
      <c r="Q390" s="411"/>
      <c r="R390" s="411"/>
      <c r="S390" s="411"/>
      <c r="T390" s="411"/>
      <c r="U390" s="411"/>
      <c r="V390" s="411"/>
      <c r="W390" s="411"/>
      <c r="X390" s="411"/>
      <c r="Y390" s="411"/>
      <c r="Z390" s="411"/>
      <c r="AA390" s="411"/>
      <c r="AB390" s="411"/>
      <c r="AC390" s="411"/>
      <c r="AD390" s="411"/>
      <c r="AE390" s="411"/>
      <c r="AF390" s="411"/>
      <c r="AG390" s="411"/>
    </row>
    <row r="391" ht="14.25" customHeight="1">
      <c r="O391" s="411"/>
      <c r="P391" s="411"/>
      <c r="Q391" s="411"/>
      <c r="R391" s="411"/>
      <c r="S391" s="411"/>
      <c r="T391" s="411"/>
      <c r="U391" s="411"/>
      <c r="V391" s="411"/>
      <c r="W391" s="411"/>
      <c r="X391" s="411"/>
      <c r="Y391" s="411"/>
      <c r="Z391" s="411"/>
      <c r="AA391" s="411"/>
      <c r="AB391" s="411"/>
      <c r="AC391" s="411"/>
      <c r="AD391" s="411"/>
      <c r="AE391" s="411"/>
      <c r="AF391" s="411"/>
      <c r="AG391" s="411"/>
    </row>
    <row r="392" ht="14.25" customHeight="1">
      <c r="O392" s="411"/>
      <c r="P392" s="411"/>
      <c r="Q392" s="411"/>
      <c r="R392" s="411"/>
      <c r="S392" s="411"/>
      <c r="T392" s="411"/>
      <c r="U392" s="411"/>
      <c r="V392" s="411"/>
      <c r="W392" s="411"/>
      <c r="X392" s="411"/>
      <c r="Y392" s="411"/>
      <c r="Z392" s="411"/>
      <c r="AA392" s="411"/>
      <c r="AB392" s="411"/>
      <c r="AC392" s="411"/>
      <c r="AD392" s="411"/>
      <c r="AE392" s="411"/>
      <c r="AF392" s="411"/>
      <c r="AG392" s="411"/>
    </row>
    <row r="393" ht="14.25" customHeight="1">
      <c r="O393" s="411"/>
      <c r="P393" s="411"/>
      <c r="Q393" s="411"/>
      <c r="R393" s="411"/>
      <c r="S393" s="411"/>
      <c r="T393" s="411"/>
      <c r="U393" s="411"/>
      <c r="V393" s="411"/>
      <c r="W393" s="411"/>
      <c r="X393" s="411"/>
      <c r="Y393" s="411"/>
      <c r="Z393" s="411"/>
      <c r="AA393" s="411"/>
      <c r="AB393" s="411"/>
      <c r="AC393" s="411"/>
      <c r="AD393" s="411"/>
      <c r="AE393" s="411"/>
      <c r="AF393" s="411"/>
      <c r="AG393" s="411"/>
    </row>
    <row r="394" ht="14.25" customHeight="1">
      <c r="O394" s="411"/>
      <c r="P394" s="411"/>
      <c r="Q394" s="411"/>
      <c r="R394" s="411"/>
      <c r="S394" s="411"/>
      <c r="T394" s="411"/>
      <c r="U394" s="411"/>
      <c r="V394" s="411"/>
      <c r="W394" s="411"/>
      <c r="X394" s="411"/>
      <c r="Y394" s="411"/>
      <c r="Z394" s="411"/>
      <c r="AA394" s="411"/>
      <c r="AB394" s="411"/>
      <c r="AC394" s="411"/>
      <c r="AD394" s="411"/>
      <c r="AE394" s="411"/>
      <c r="AF394" s="411"/>
      <c r="AG394" s="411"/>
    </row>
    <row r="395" ht="14.25" customHeight="1">
      <c r="O395" s="411"/>
      <c r="P395" s="411"/>
      <c r="Q395" s="411"/>
      <c r="R395" s="411"/>
      <c r="S395" s="411"/>
      <c r="T395" s="411"/>
      <c r="U395" s="411"/>
      <c r="V395" s="411"/>
      <c r="W395" s="411"/>
      <c r="X395" s="411"/>
      <c r="Y395" s="411"/>
      <c r="Z395" s="411"/>
      <c r="AA395" s="411"/>
      <c r="AB395" s="411"/>
      <c r="AC395" s="411"/>
      <c r="AD395" s="411"/>
      <c r="AE395" s="411"/>
      <c r="AF395" s="411"/>
      <c r="AG395" s="411"/>
    </row>
    <row r="396" ht="14.25" customHeight="1">
      <c r="O396" s="411"/>
      <c r="P396" s="411"/>
      <c r="Q396" s="411"/>
      <c r="R396" s="411"/>
      <c r="S396" s="411"/>
      <c r="T396" s="411"/>
      <c r="U396" s="411"/>
      <c r="V396" s="411"/>
      <c r="W396" s="411"/>
      <c r="X396" s="411"/>
      <c r="Y396" s="411"/>
      <c r="Z396" s="411"/>
      <c r="AA396" s="411"/>
      <c r="AB396" s="411"/>
      <c r="AC396" s="411"/>
      <c r="AD396" s="411"/>
      <c r="AE396" s="411"/>
      <c r="AF396" s="411"/>
      <c r="AG396" s="411"/>
    </row>
    <row r="397" ht="14.25" customHeight="1">
      <c r="O397" s="411"/>
      <c r="P397" s="411"/>
      <c r="Q397" s="411"/>
      <c r="R397" s="411"/>
      <c r="S397" s="411"/>
      <c r="T397" s="411"/>
      <c r="U397" s="411"/>
      <c r="V397" s="411"/>
      <c r="W397" s="411"/>
      <c r="X397" s="411"/>
      <c r="Y397" s="411"/>
      <c r="Z397" s="411"/>
      <c r="AA397" s="411"/>
      <c r="AB397" s="411"/>
      <c r="AC397" s="411"/>
      <c r="AD397" s="411"/>
      <c r="AE397" s="411"/>
      <c r="AF397" s="411"/>
      <c r="AG397" s="411"/>
    </row>
    <row r="398" ht="14.25" customHeight="1">
      <c r="O398" s="411"/>
      <c r="P398" s="411"/>
      <c r="Q398" s="411"/>
      <c r="R398" s="411"/>
      <c r="S398" s="411"/>
      <c r="T398" s="411"/>
      <c r="U398" s="411"/>
      <c r="V398" s="411"/>
      <c r="W398" s="411"/>
      <c r="X398" s="411"/>
      <c r="Y398" s="411"/>
      <c r="Z398" s="411"/>
      <c r="AA398" s="411"/>
      <c r="AB398" s="411"/>
      <c r="AC398" s="411"/>
      <c r="AD398" s="411"/>
      <c r="AE398" s="411"/>
      <c r="AF398" s="411"/>
      <c r="AG398" s="411"/>
    </row>
    <row r="399" ht="14.25" customHeight="1">
      <c r="O399" s="411"/>
      <c r="P399" s="411"/>
      <c r="Q399" s="411"/>
      <c r="R399" s="411"/>
      <c r="S399" s="411"/>
      <c r="T399" s="411"/>
      <c r="U399" s="411"/>
      <c r="V399" s="411"/>
      <c r="W399" s="411"/>
      <c r="X399" s="411"/>
      <c r="Y399" s="411"/>
      <c r="Z399" s="411"/>
      <c r="AA399" s="411"/>
      <c r="AB399" s="411"/>
      <c r="AC399" s="411"/>
      <c r="AD399" s="411"/>
      <c r="AE399" s="411"/>
      <c r="AF399" s="411"/>
      <c r="AG399" s="411"/>
    </row>
    <row r="400" ht="14.25" customHeight="1">
      <c r="O400" s="411"/>
      <c r="P400" s="411"/>
      <c r="Q400" s="411"/>
      <c r="R400" s="411"/>
      <c r="S400" s="411"/>
      <c r="T400" s="411"/>
      <c r="U400" s="411"/>
      <c r="V400" s="411"/>
      <c r="W400" s="411"/>
      <c r="X400" s="411"/>
      <c r="Y400" s="411"/>
      <c r="Z400" s="411"/>
      <c r="AA400" s="411"/>
      <c r="AB400" s="411"/>
      <c r="AC400" s="411"/>
      <c r="AD400" s="411"/>
      <c r="AE400" s="411"/>
      <c r="AF400" s="411"/>
      <c r="AG400" s="411"/>
    </row>
    <row r="401" ht="14.25" customHeight="1">
      <c r="O401" s="411"/>
      <c r="P401" s="411"/>
      <c r="Q401" s="411"/>
      <c r="R401" s="411"/>
      <c r="S401" s="411"/>
      <c r="T401" s="411"/>
      <c r="U401" s="411"/>
      <c r="V401" s="411"/>
      <c r="W401" s="411"/>
      <c r="X401" s="411"/>
      <c r="Y401" s="411"/>
      <c r="Z401" s="411"/>
      <c r="AA401" s="411"/>
      <c r="AB401" s="411"/>
      <c r="AC401" s="411"/>
      <c r="AD401" s="411"/>
      <c r="AE401" s="411"/>
      <c r="AF401" s="411"/>
      <c r="AG401" s="411"/>
    </row>
    <row r="402" ht="14.25" customHeight="1">
      <c r="O402" s="411"/>
      <c r="P402" s="411"/>
      <c r="Q402" s="411"/>
      <c r="R402" s="411"/>
      <c r="S402" s="411"/>
      <c r="T402" s="411"/>
      <c r="U402" s="411"/>
      <c r="V402" s="411"/>
      <c r="W402" s="411"/>
      <c r="X402" s="411"/>
      <c r="Y402" s="411"/>
      <c r="Z402" s="411"/>
      <c r="AA402" s="411"/>
      <c r="AB402" s="411"/>
      <c r="AC402" s="411"/>
      <c r="AD402" s="411"/>
      <c r="AE402" s="411"/>
      <c r="AF402" s="411"/>
      <c r="AG402" s="411"/>
    </row>
    <row r="403" ht="14.25" customHeight="1">
      <c r="O403" s="411"/>
      <c r="P403" s="411"/>
      <c r="Q403" s="411"/>
      <c r="R403" s="411"/>
      <c r="S403" s="411"/>
      <c r="T403" s="411"/>
      <c r="U403" s="411"/>
      <c r="V403" s="411"/>
      <c r="W403" s="411"/>
      <c r="X403" s="411"/>
      <c r="Y403" s="411"/>
      <c r="Z403" s="411"/>
      <c r="AA403" s="411"/>
      <c r="AB403" s="411"/>
      <c r="AC403" s="411"/>
      <c r="AD403" s="411"/>
      <c r="AE403" s="411"/>
      <c r="AF403" s="411"/>
      <c r="AG403" s="411"/>
    </row>
    <row r="404" ht="14.25" customHeight="1">
      <c r="O404" s="411"/>
      <c r="P404" s="411"/>
      <c r="Q404" s="411"/>
      <c r="R404" s="411"/>
      <c r="S404" s="411"/>
      <c r="T404" s="411"/>
      <c r="U404" s="411"/>
      <c r="V404" s="411"/>
      <c r="W404" s="411"/>
      <c r="X404" s="411"/>
      <c r="Y404" s="411"/>
      <c r="Z404" s="411"/>
      <c r="AA404" s="411"/>
      <c r="AB404" s="411"/>
      <c r="AC404" s="411"/>
      <c r="AD404" s="411"/>
      <c r="AE404" s="411"/>
      <c r="AF404" s="411"/>
      <c r="AG404" s="411"/>
    </row>
    <row r="405" ht="14.25" customHeight="1">
      <c r="O405" s="411"/>
      <c r="P405" s="411"/>
      <c r="Q405" s="411"/>
      <c r="R405" s="411"/>
      <c r="S405" s="411"/>
      <c r="T405" s="411"/>
      <c r="U405" s="411"/>
      <c r="V405" s="411"/>
      <c r="W405" s="411"/>
      <c r="X405" s="411"/>
      <c r="Y405" s="411"/>
      <c r="Z405" s="411"/>
      <c r="AA405" s="411"/>
      <c r="AB405" s="411"/>
      <c r="AC405" s="411"/>
      <c r="AD405" s="411"/>
      <c r="AE405" s="411"/>
      <c r="AF405" s="411"/>
      <c r="AG405" s="411"/>
    </row>
    <row r="406" ht="14.25" customHeight="1">
      <c r="O406" s="411"/>
      <c r="P406" s="411"/>
      <c r="Q406" s="411"/>
      <c r="R406" s="411"/>
      <c r="S406" s="411"/>
      <c r="T406" s="411"/>
      <c r="U406" s="411"/>
      <c r="V406" s="411"/>
      <c r="W406" s="411"/>
      <c r="X406" s="411"/>
      <c r="Y406" s="411"/>
      <c r="Z406" s="411"/>
      <c r="AA406" s="411"/>
      <c r="AB406" s="411"/>
      <c r="AC406" s="411"/>
      <c r="AD406" s="411"/>
      <c r="AE406" s="411"/>
      <c r="AF406" s="411"/>
      <c r="AG406" s="411"/>
    </row>
    <row r="407" ht="14.25" customHeight="1">
      <c r="O407" s="411"/>
      <c r="P407" s="411"/>
      <c r="Q407" s="411"/>
      <c r="R407" s="411"/>
      <c r="S407" s="411"/>
      <c r="T407" s="411"/>
      <c r="U407" s="411"/>
      <c r="V407" s="411"/>
      <c r="W407" s="411"/>
      <c r="X407" s="411"/>
      <c r="Y407" s="411"/>
      <c r="Z407" s="411"/>
      <c r="AA407" s="411"/>
      <c r="AB407" s="411"/>
      <c r="AC407" s="411"/>
      <c r="AD407" s="411"/>
      <c r="AE407" s="411"/>
      <c r="AF407" s="411"/>
      <c r="AG407" s="411"/>
    </row>
    <row r="408" ht="14.25" customHeight="1">
      <c r="O408" s="411"/>
      <c r="P408" s="411"/>
      <c r="Q408" s="411"/>
      <c r="R408" s="411"/>
      <c r="S408" s="411"/>
      <c r="T408" s="411"/>
      <c r="U408" s="411"/>
      <c r="V408" s="411"/>
      <c r="W408" s="411"/>
      <c r="X408" s="411"/>
      <c r="Y408" s="411"/>
      <c r="Z408" s="411"/>
      <c r="AA408" s="411"/>
      <c r="AB408" s="411"/>
      <c r="AC408" s="411"/>
      <c r="AD408" s="411"/>
      <c r="AE408" s="411"/>
      <c r="AF408" s="411"/>
      <c r="AG408" s="411"/>
    </row>
    <row r="409" ht="14.25" customHeight="1">
      <c r="O409" s="411"/>
      <c r="P409" s="411"/>
      <c r="Q409" s="411"/>
      <c r="R409" s="411"/>
      <c r="S409" s="411"/>
      <c r="T409" s="411"/>
      <c r="U409" s="411"/>
      <c r="V409" s="411"/>
      <c r="W409" s="411"/>
      <c r="X409" s="411"/>
      <c r="Y409" s="411"/>
      <c r="Z409" s="411"/>
      <c r="AA409" s="411"/>
      <c r="AB409" s="411"/>
      <c r="AC409" s="411"/>
      <c r="AD409" s="411"/>
      <c r="AE409" s="411"/>
      <c r="AF409" s="411"/>
      <c r="AG409" s="411"/>
    </row>
    <row r="410" ht="14.25" customHeight="1">
      <c r="O410" s="411"/>
      <c r="P410" s="411"/>
      <c r="Q410" s="411"/>
      <c r="R410" s="411"/>
      <c r="S410" s="411"/>
      <c r="T410" s="411"/>
      <c r="U410" s="411"/>
      <c r="V410" s="411"/>
      <c r="W410" s="411"/>
      <c r="X410" s="411"/>
      <c r="Y410" s="411"/>
      <c r="Z410" s="411"/>
      <c r="AA410" s="411"/>
      <c r="AB410" s="411"/>
      <c r="AC410" s="411"/>
      <c r="AD410" s="411"/>
      <c r="AE410" s="411"/>
      <c r="AF410" s="411"/>
      <c r="AG410" s="411"/>
    </row>
    <row r="411" ht="14.25" customHeight="1">
      <c r="O411" s="411"/>
      <c r="P411" s="411"/>
      <c r="Q411" s="411"/>
      <c r="R411" s="411"/>
      <c r="S411" s="411"/>
      <c r="T411" s="411"/>
      <c r="U411" s="411"/>
      <c r="V411" s="411"/>
      <c r="W411" s="411"/>
      <c r="X411" s="411"/>
      <c r="Y411" s="411"/>
      <c r="Z411" s="411"/>
      <c r="AA411" s="411"/>
      <c r="AB411" s="411"/>
      <c r="AC411" s="411"/>
      <c r="AD411" s="411"/>
      <c r="AE411" s="411"/>
      <c r="AF411" s="411"/>
      <c r="AG411" s="411"/>
    </row>
    <row r="412" ht="14.25" customHeight="1">
      <c r="O412" s="411"/>
      <c r="P412" s="411"/>
      <c r="Q412" s="411"/>
      <c r="R412" s="411"/>
      <c r="S412" s="411"/>
      <c r="T412" s="411"/>
      <c r="U412" s="411"/>
      <c r="V412" s="411"/>
      <c r="W412" s="411"/>
      <c r="X412" s="411"/>
      <c r="Y412" s="411"/>
      <c r="Z412" s="411"/>
      <c r="AA412" s="411"/>
      <c r="AB412" s="411"/>
      <c r="AC412" s="411"/>
      <c r="AD412" s="411"/>
      <c r="AE412" s="411"/>
      <c r="AF412" s="411"/>
      <c r="AG412" s="411"/>
    </row>
    <row r="413" ht="14.25" customHeight="1">
      <c r="O413" s="411"/>
      <c r="P413" s="411"/>
      <c r="Q413" s="411"/>
      <c r="R413" s="411"/>
      <c r="S413" s="411"/>
      <c r="T413" s="411"/>
      <c r="U413" s="411"/>
      <c r="V413" s="411"/>
      <c r="W413" s="411"/>
      <c r="X413" s="411"/>
      <c r="Y413" s="411"/>
      <c r="Z413" s="411"/>
      <c r="AA413" s="411"/>
      <c r="AB413" s="411"/>
      <c r="AC413" s="411"/>
      <c r="AD413" s="411"/>
      <c r="AE413" s="411"/>
      <c r="AF413" s="411"/>
      <c r="AG413" s="411"/>
    </row>
    <row r="414" ht="14.25" customHeight="1">
      <c r="O414" s="411"/>
      <c r="P414" s="411"/>
      <c r="Q414" s="411"/>
      <c r="R414" s="411"/>
      <c r="S414" s="411"/>
      <c r="T414" s="411"/>
      <c r="U414" s="411"/>
      <c r="V414" s="411"/>
      <c r="W414" s="411"/>
      <c r="X414" s="411"/>
      <c r="Y414" s="411"/>
      <c r="Z414" s="411"/>
      <c r="AA414" s="411"/>
      <c r="AB414" s="411"/>
      <c r="AC414" s="411"/>
      <c r="AD414" s="411"/>
      <c r="AE414" s="411"/>
      <c r="AF414" s="411"/>
      <c r="AG414" s="411"/>
    </row>
    <row r="415" ht="14.25" customHeight="1">
      <c r="O415" s="411"/>
      <c r="P415" s="411"/>
      <c r="Q415" s="411"/>
      <c r="R415" s="411"/>
      <c r="S415" s="411"/>
      <c r="T415" s="411"/>
      <c r="U415" s="411"/>
      <c r="V415" s="411"/>
      <c r="W415" s="411"/>
      <c r="X415" s="411"/>
      <c r="Y415" s="411"/>
      <c r="Z415" s="411"/>
      <c r="AA415" s="411"/>
      <c r="AB415" s="411"/>
      <c r="AC415" s="411"/>
      <c r="AD415" s="411"/>
      <c r="AE415" s="411"/>
      <c r="AF415" s="411"/>
      <c r="AG415" s="411"/>
    </row>
    <row r="416" ht="14.25" customHeight="1">
      <c r="O416" s="411"/>
      <c r="P416" s="411"/>
      <c r="Q416" s="411"/>
      <c r="R416" s="411"/>
      <c r="S416" s="411"/>
      <c r="T416" s="411"/>
      <c r="U416" s="411"/>
      <c r="V416" s="411"/>
      <c r="W416" s="411"/>
      <c r="X416" s="411"/>
      <c r="Y416" s="411"/>
      <c r="Z416" s="411"/>
      <c r="AA416" s="411"/>
      <c r="AB416" s="411"/>
      <c r="AC416" s="411"/>
      <c r="AD416" s="411"/>
      <c r="AE416" s="411"/>
      <c r="AF416" s="411"/>
      <c r="AG416" s="411"/>
    </row>
    <row r="417" ht="14.25" customHeight="1">
      <c r="O417" s="411"/>
      <c r="P417" s="411"/>
      <c r="Q417" s="411"/>
      <c r="R417" s="411"/>
      <c r="S417" s="411"/>
      <c r="T417" s="411"/>
      <c r="U417" s="411"/>
      <c r="V417" s="411"/>
      <c r="W417" s="411"/>
      <c r="X417" s="411"/>
      <c r="Y417" s="411"/>
      <c r="Z417" s="411"/>
      <c r="AA417" s="411"/>
      <c r="AB417" s="411"/>
      <c r="AC417" s="411"/>
      <c r="AD417" s="411"/>
      <c r="AE417" s="411"/>
      <c r="AF417" s="411"/>
      <c r="AG417" s="411"/>
    </row>
    <row r="418" ht="14.25" customHeight="1">
      <c r="O418" s="411"/>
      <c r="P418" s="411"/>
      <c r="Q418" s="411"/>
      <c r="R418" s="411"/>
      <c r="S418" s="411"/>
      <c r="T418" s="411"/>
      <c r="U418" s="411"/>
      <c r="V418" s="411"/>
      <c r="W418" s="411"/>
      <c r="X418" s="411"/>
      <c r="Y418" s="411"/>
      <c r="Z418" s="411"/>
      <c r="AA418" s="411"/>
      <c r="AB418" s="411"/>
      <c r="AC418" s="411"/>
      <c r="AD418" s="411"/>
      <c r="AE418" s="411"/>
      <c r="AF418" s="411"/>
      <c r="AG418" s="411"/>
    </row>
    <row r="419" ht="14.25" customHeight="1">
      <c r="O419" s="411"/>
      <c r="P419" s="411"/>
      <c r="Q419" s="411"/>
      <c r="R419" s="411"/>
      <c r="S419" s="411"/>
      <c r="T419" s="411"/>
      <c r="U419" s="411"/>
      <c r="V419" s="411"/>
      <c r="W419" s="411"/>
      <c r="X419" s="411"/>
      <c r="Y419" s="411"/>
      <c r="Z419" s="411"/>
      <c r="AA419" s="411"/>
      <c r="AB419" s="411"/>
      <c r="AC419" s="411"/>
      <c r="AD419" s="411"/>
      <c r="AE419" s="411"/>
      <c r="AF419" s="411"/>
      <c r="AG419" s="411"/>
    </row>
    <row r="420" ht="14.25" customHeight="1">
      <c r="O420" s="411"/>
      <c r="P420" s="411"/>
      <c r="Q420" s="411"/>
      <c r="R420" s="411"/>
      <c r="S420" s="411"/>
      <c r="T420" s="411"/>
      <c r="U420" s="411"/>
      <c r="V420" s="411"/>
      <c r="W420" s="411"/>
      <c r="X420" s="411"/>
      <c r="Y420" s="411"/>
      <c r="Z420" s="411"/>
      <c r="AA420" s="411"/>
      <c r="AB420" s="411"/>
      <c r="AC420" s="411"/>
      <c r="AD420" s="411"/>
      <c r="AE420" s="411"/>
      <c r="AF420" s="411"/>
      <c r="AG420" s="411"/>
    </row>
    <row r="421" ht="14.25" customHeight="1">
      <c r="O421" s="411"/>
      <c r="P421" s="411"/>
      <c r="Q421" s="411"/>
      <c r="R421" s="411"/>
      <c r="S421" s="411"/>
      <c r="T421" s="411"/>
      <c r="U421" s="411"/>
      <c r="V421" s="411"/>
      <c r="W421" s="411"/>
      <c r="X421" s="411"/>
      <c r="Y421" s="411"/>
      <c r="Z421" s="411"/>
      <c r="AA421" s="411"/>
      <c r="AB421" s="411"/>
      <c r="AC421" s="411"/>
      <c r="AD421" s="411"/>
      <c r="AE421" s="411"/>
      <c r="AF421" s="411"/>
      <c r="AG421" s="411"/>
    </row>
    <row r="422" ht="14.25" customHeight="1">
      <c r="O422" s="411"/>
      <c r="P422" s="411"/>
      <c r="Q422" s="411"/>
      <c r="R422" s="411"/>
      <c r="S422" s="411"/>
      <c r="T422" s="411"/>
      <c r="U422" s="411"/>
      <c r="V422" s="411"/>
      <c r="W422" s="411"/>
      <c r="X422" s="411"/>
      <c r="Y422" s="411"/>
      <c r="Z422" s="411"/>
      <c r="AA422" s="411"/>
      <c r="AB422" s="411"/>
      <c r="AC422" s="411"/>
      <c r="AD422" s="411"/>
      <c r="AE422" s="411"/>
      <c r="AF422" s="411"/>
      <c r="AG422" s="411"/>
    </row>
    <row r="423" ht="14.25" customHeight="1">
      <c r="O423" s="411"/>
      <c r="P423" s="411"/>
      <c r="Q423" s="411"/>
      <c r="R423" s="411"/>
      <c r="S423" s="411"/>
      <c r="T423" s="411"/>
      <c r="U423" s="411"/>
      <c r="V423" s="411"/>
      <c r="W423" s="411"/>
      <c r="X423" s="411"/>
      <c r="Y423" s="411"/>
      <c r="Z423" s="411"/>
      <c r="AA423" s="411"/>
      <c r="AB423" s="411"/>
      <c r="AC423" s="411"/>
      <c r="AD423" s="411"/>
      <c r="AE423" s="411"/>
      <c r="AF423" s="411"/>
      <c r="AG423" s="411"/>
    </row>
    <row r="424" ht="14.25" customHeight="1">
      <c r="O424" s="411"/>
      <c r="P424" s="411"/>
      <c r="Q424" s="411"/>
      <c r="R424" s="411"/>
      <c r="S424" s="411"/>
      <c r="T424" s="411"/>
      <c r="U424" s="411"/>
      <c r="V424" s="411"/>
      <c r="W424" s="411"/>
      <c r="X424" s="411"/>
      <c r="Y424" s="411"/>
      <c r="Z424" s="411"/>
      <c r="AA424" s="411"/>
      <c r="AB424" s="411"/>
      <c r="AC424" s="411"/>
      <c r="AD424" s="411"/>
      <c r="AE424" s="411"/>
      <c r="AF424" s="411"/>
      <c r="AG424" s="411"/>
    </row>
    <row r="425" ht="14.25" customHeight="1">
      <c r="O425" s="411"/>
      <c r="P425" s="411"/>
      <c r="Q425" s="411"/>
      <c r="R425" s="411"/>
      <c r="S425" s="411"/>
      <c r="T425" s="411"/>
      <c r="U425" s="411"/>
      <c r="V425" s="411"/>
      <c r="W425" s="411"/>
      <c r="X425" s="411"/>
      <c r="Y425" s="411"/>
      <c r="Z425" s="411"/>
      <c r="AA425" s="411"/>
      <c r="AB425" s="411"/>
      <c r="AC425" s="411"/>
      <c r="AD425" s="411"/>
      <c r="AE425" s="411"/>
      <c r="AF425" s="411"/>
      <c r="AG425" s="411"/>
    </row>
    <row r="426" ht="14.25" customHeight="1">
      <c r="O426" s="411"/>
      <c r="P426" s="411"/>
      <c r="Q426" s="411"/>
      <c r="R426" s="411"/>
      <c r="S426" s="411"/>
      <c r="T426" s="411"/>
      <c r="U426" s="411"/>
      <c r="V426" s="411"/>
      <c r="W426" s="411"/>
      <c r="X426" s="411"/>
      <c r="Y426" s="411"/>
      <c r="Z426" s="411"/>
      <c r="AA426" s="411"/>
      <c r="AB426" s="411"/>
      <c r="AC426" s="411"/>
      <c r="AD426" s="411"/>
      <c r="AE426" s="411"/>
      <c r="AF426" s="411"/>
      <c r="AG426" s="411"/>
    </row>
    <row r="427" ht="14.25" customHeight="1">
      <c r="O427" s="411"/>
      <c r="P427" s="411"/>
      <c r="Q427" s="411"/>
      <c r="R427" s="411"/>
      <c r="S427" s="411"/>
      <c r="T427" s="411"/>
      <c r="U427" s="411"/>
      <c r="V427" s="411"/>
      <c r="W427" s="411"/>
      <c r="X427" s="411"/>
      <c r="Y427" s="411"/>
      <c r="Z427" s="411"/>
      <c r="AA427" s="411"/>
      <c r="AB427" s="411"/>
      <c r="AC427" s="411"/>
      <c r="AD427" s="411"/>
      <c r="AE427" s="411"/>
      <c r="AF427" s="411"/>
      <c r="AG427" s="411"/>
    </row>
    <row r="428" ht="14.25" customHeight="1">
      <c r="O428" s="411"/>
      <c r="P428" s="411"/>
      <c r="Q428" s="411"/>
      <c r="R428" s="411"/>
      <c r="S428" s="411"/>
      <c r="T428" s="411"/>
      <c r="U428" s="411"/>
      <c r="V428" s="411"/>
      <c r="W428" s="411"/>
      <c r="X428" s="411"/>
      <c r="Y428" s="411"/>
      <c r="Z428" s="411"/>
      <c r="AA428" s="411"/>
      <c r="AB428" s="411"/>
      <c r="AC428" s="411"/>
      <c r="AD428" s="411"/>
      <c r="AE428" s="411"/>
      <c r="AF428" s="411"/>
      <c r="AG428" s="411"/>
    </row>
    <row r="429" ht="14.25" customHeight="1">
      <c r="O429" s="411"/>
      <c r="P429" s="411"/>
      <c r="Q429" s="411"/>
      <c r="R429" s="411"/>
      <c r="S429" s="411"/>
      <c r="T429" s="411"/>
      <c r="U429" s="411"/>
      <c r="V429" s="411"/>
      <c r="W429" s="411"/>
      <c r="X429" s="411"/>
      <c r="Y429" s="411"/>
      <c r="Z429" s="411"/>
      <c r="AA429" s="411"/>
      <c r="AB429" s="411"/>
      <c r="AC429" s="411"/>
      <c r="AD429" s="411"/>
      <c r="AE429" s="411"/>
      <c r="AF429" s="411"/>
      <c r="AG429" s="411"/>
    </row>
    <row r="430" ht="14.25" customHeight="1">
      <c r="O430" s="411"/>
      <c r="P430" s="411"/>
      <c r="Q430" s="411"/>
      <c r="R430" s="411"/>
      <c r="S430" s="411"/>
      <c r="T430" s="411"/>
      <c r="U430" s="411"/>
      <c r="V430" s="411"/>
      <c r="W430" s="411"/>
      <c r="X430" s="411"/>
      <c r="Y430" s="411"/>
      <c r="Z430" s="411"/>
      <c r="AA430" s="411"/>
      <c r="AB430" s="411"/>
      <c r="AC430" s="411"/>
      <c r="AD430" s="411"/>
      <c r="AE430" s="411"/>
      <c r="AF430" s="411"/>
      <c r="AG430" s="411"/>
    </row>
    <row r="431" ht="14.25" customHeight="1">
      <c r="O431" s="411"/>
      <c r="P431" s="411"/>
      <c r="Q431" s="411"/>
      <c r="R431" s="411"/>
      <c r="S431" s="411"/>
      <c r="T431" s="411"/>
      <c r="U431" s="411"/>
      <c r="V431" s="411"/>
      <c r="W431" s="411"/>
      <c r="X431" s="411"/>
      <c r="Y431" s="411"/>
      <c r="Z431" s="411"/>
      <c r="AA431" s="411"/>
      <c r="AB431" s="411"/>
      <c r="AC431" s="411"/>
      <c r="AD431" s="411"/>
      <c r="AE431" s="411"/>
      <c r="AF431" s="411"/>
      <c r="AG431" s="411"/>
    </row>
    <row r="432" ht="14.25" customHeight="1">
      <c r="O432" s="411"/>
      <c r="P432" s="411"/>
      <c r="Q432" s="411"/>
      <c r="R432" s="411"/>
      <c r="S432" s="411"/>
      <c r="T432" s="411"/>
      <c r="U432" s="411"/>
      <c r="V432" s="411"/>
      <c r="W432" s="411"/>
      <c r="X432" s="411"/>
      <c r="Y432" s="411"/>
      <c r="Z432" s="411"/>
      <c r="AA432" s="411"/>
      <c r="AB432" s="411"/>
      <c r="AC432" s="411"/>
      <c r="AD432" s="411"/>
      <c r="AE432" s="411"/>
      <c r="AF432" s="411"/>
      <c r="AG432" s="411"/>
    </row>
    <row r="433" ht="14.25" customHeight="1">
      <c r="O433" s="411"/>
      <c r="P433" s="411"/>
      <c r="Q433" s="411"/>
      <c r="R433" s="411"/>
      <c r="S433" s="411"/>
      <c r="T433" s="411"/>
      <c r="U433" s="411"/>
      <c r="V433" s="411"/>
      <c r="W433" s="411"/>
      <c r="X433" s="411"/>
      <c r="Y433" s="411"/>
      <c r="Z433" s="411"/>
      <c r="AA433" s="411"/>
      <c r="AB433" s="411"/>
      <c r="AC433" s="411"/>
      <c r="AD433" s="411"/>
      <c r="AE433" s="411"/>
      <c r="AF433" s="411"/>
      <c r="AG433" s="411"/>
    </row>
    <row r="434" ht="14.25" customHeight="1">
      <c r="O434" s="411"/>
      <c r="P434" s="411"/>
      <c r="Q434" s="411"/>
      <c r="R434" s="411"/>
      <c r="S434" s="411"/>
      <c r="T434" s="411"/>
      <c r="U434" s="411"/>
      <c r="V434" s="411"/>
      <c r="W434" s="411"/>
      <c r="X434" s="411"/>
      <c r="Y434" s="411"/>
      <c r="Z434" s="411"/>
      <c r="AA434" s="411"/>
      <c r="AB434" s="411"/>
      <c r="AC434" s="411"/>
      <c r="AD434" s="411"/>
      <c r="AE434" s="411"/>
      <c r="AF434" s="411"/>
      <c r="AG434" s="411"/>
    </row>
    <row r="435" ht="14.25" customHeight="1">
      <c r="O435" s="411"/>
      <c r="P435" s="411"/>
      <c r="Q435" s="411"/>
      <c r="R435" s="411"/>
      <c r="S435" s="411"/>
      <c r="T435" s="411"/>
      <c r="U435" s="411"/>
      <c r="V435" s="411"/>
      <c r="W435" s="411"/>
      <c r="X435" s="411"/>
      <c r="Y435" s="411"/>
      <c r="Z435" s="411"/>
      <c r="AA435" s="411"/>
      <c r="AB435" s="411"/>
      <c r="AC435" s="411"/>
      <c r="AD435" s="411"/>
      <c r="AE435" s="411"/>
      <c r="AF435" s="411"/>
      <c r="AG435" s="411"/>
    </row>
    <row r="436" ht="14.25" customHeight="1">
      <c r="O436" s="411"/>
      <c r="P436" s="411"/>
      <c r="Q436" s="411"/>
      <c r="R436" s="411"/>
      <c r="S436" s="411"/>
      <c r="T436" s="411"/>
      <c r="U436" s="411"/>
      <c r="V436" s="411"/>
      <c r="W436" s="411"/>
      <c r="X436" s="411"/>
      <c r="Y436" s="411"/>
      <c r="Z436" s="411"/>
      <c r="AA436" s="411"/>
      <c r="AB436" s="411"/>
      <c r="AC436" s="411"/>
      <c r="AD436" s="411"/>
      <c r="AE436" s="411"/>
      <c r="AF436" s="411"/>
      <c r="AG436" s="411"/>
    </row>
    <row r="437" ht="14.25" customHeight="1">
      <c r="O437" s="411"/>
      <c r="P437" s="411"/>
      <c r="Q437" s="411"/>
      <c r="R437" s="411"/>
      <c r="S437" s="411"/>
      <c r="T437" s="411"/>
      <c r="U437" s="411"/>
      <c r="V437" s="411"/>
      <c r="W437" s="411"/>
      <c r="X437" s="411"/>
      <c r="Y437" s="411"/>
      <c r="Z437" s="411"/>
      <c r="AA437" s="411"/>
      <c r="AB437" s="411"/>
      <c r="AC437" s="411"/>
      <c r="AD437" s="411"/>
      <c r="AE437" s="411"/>
      <c r="AF437" s="411"/>
      <c r="AG437" s="411"/>
    </row>
    <row r="438" ht="14.25" customHeight="1">
      <c r="O438" s="411"/>
      <c r="P438" s="411"/>
      <c r="Q438" s="411"/>
      <c r="R438" s="411"/>
      <c r="S438" s="411"/>
      <c r="T438" s="411"/>
      <c r="U438" s="411"/>
      <c r="V438" s="411"/>
      <c r="W438" s="411"/>
      <c r="X438" s="411"/>
      <c r="Y438" s="411"/>
      <c r="Z438" s="411"/>
      <c r="AA438" s="411"/>
      <c r="AB438" s="411"/>
      <c r="AC438" s="411"/>
      <c r="AD438" s="411"/>
      <c r="AE438" s="411"/>
      <c r="AF438" s="411"/>
      <c r="AG438" s="411"/>
    </row>
    <row r="439" ht="14.25" customHeight="1">
      <c r="O439" s="411"/>
      <c r="P439" s="411"/>
      <c r="Q439" s="411"/>
      <c r="R439" s="411"/>
      <c r="S439" s="411"/>
      <c r="T439" s="411"/>
      <c r="U439" s="411"/>
      <c r="V439" s="411"/>
      <c r="W439" s="411"/>
      <c r="X439" s="411"/>
      <c r="Y439" s="411"/>
      <c r="Z439" s="411"/>
      <c r="AA439" s="411"/>
      <c r="AB439" s="411"/>
      <c r="AC439" s="411"/>
      <c r="AD439" s="411"/>
      <c r="AE439" s="411"/>
      <c r="AF439" s="411"/>
      <c r="AG439" s="411"/>
    </row>
    <row r="440" ht="14.25" customHeight="1">
      <c r="O440" s="411"/>
      <c r="P440" s="411"/>
      <c r="Q440" s="411"/>
      <c r="R440" s="411"/>
      <c r="S440" s="411"/>
      <c r="T440" s="411"/>
      <c r="U440" s="411"/>
      <c r="V440" s="411"/>
      <c r="W440" s="411"/>
      <c r="X440" s="411"/>
      <c r="Y440" s="411"/>
      <c r="Z440" s="411"/>
      <c r="AA440" s="411"/>
      <c r="AB440" s="411"/>
      <c r="AC440" s="411"/>
      <c r="AD440" s="411"/>
      <c r="AE440" s="411"/>
      <c r="AF440" s="411"/>
      <c r="AG440" s="411"/>
    </row>
    <row r="441" ht="14.25" customHeight="1">
      <c r="O441" s="411"/>
      <c r="P441" s="411"/>
      <c r="Q441" s="411"/>
      <c r="R441" s="411"/>
      <c r="S441" s="411"/>
      <c r="T441" s="411"/>
      <c r="U441" s="411"/>
      <c r="V441" s="411"/>
      <c r="W441" s="411"/>
      <c r="X441" s="411"/>
      <c r="Y441" s="411"/>
      <c r="Z441" s="411"/>
      <c r="AA441" s="411"/>
      <c r="AB441" s="411"/>
      <c r="AC441" s="411"/>
      <c r="AD441" s="411"/>
      <c r="AE441" s="411"/>
      <c r="AF441" s="411"/>
      <c r="AG441" s="411"/>
    </row>
    <row r="442" ht="14.25" customHeight="1">
      <c r="O442" s="411"/>
      <c r="P442" s="411"/>
      <c r="Q442" s="411"/>
      <c r="R442" s="411"/>
      <c r="S442" s="411"/>
      <c r="T442" s="411"/>
      <c r="U442" s="411"/>
      <c r="V442" s="411"/>
      <c r="W442" s="411"/>
      <c r="X442" s="411"/>
      <c r="Y442" s="411"/>
      <c r="Z442" s="411"/>
      <c r="AA442" s="411"/>
      <c r="AB442" s="411"/>
      <c r="AC442" s="411"/>
      <c r="AD442" s="411"/>
      <c r="AE442" s="411"/>
      <c r="AF442" s="411"/>
      <c r="AG442" s="411"/>
    </row>
    <row r="443" ht="14.25" customHeight="1">
      <c r="O443" s="411"/>
      <c r="P443" s="411"/>
      <c r="Q443" s="411"/>
      <c r="R443" s="411"/>
      <c r="S443" s="411"/>
      <c r="T443" s="411"/>
      <c r="U443" s="411"/>
      <c r="V443" s="411"/>
      <c r="W443" s="411"/>
      <c r="X443" s="411"/>
      <c r="Y443" s="411"/>
      <c r="Z443" s="411"/>
      <c r="AA443" s="411"/>
      <c r="AB443" s="411"/>
      <c r="AC443" s="411"/>
      <c r="AD443" s="411"/>
      <c r="AE443" s="411"/>
      <c r="AF443" s="411"/>
      <c r="AG443" s="411"/>
    </row>
    <row r="444" ht="14.25" customHeight="1">
      <c r="O444" s="411"/>
      <c r="P444" s="411"/>
      <c r="Q444" s="411"/>
      <c r="R444" s="411"/>
      <c r="S444" s="411"/>
      <c r="T444" s="411"/>
      <c r="U444" s="411"/>
      <c r="V444" s="411"/>
      <c r="W444" s="411"/>
      <c r="X444" s="411"/>
      <c r="Y444" s="411"/>
      <c r="Z444" s="411"/>
      <c r="AA444" s="411"/>
      <c r="AB444" s="411"/>
      <c r="AC444" s="411"/>
      <c r="AD444" s="411"/>
      <c r="AE444" s="411"/>
      <c r="AF444" s="411"/>
      <c r="AG444" s="411"/>
    </row>
    <row r="445" ht="14.25" customHeight="1">
      <c r="O445" s="411"/>
      <c r="P445" s="411"/>
      <c r="Q445" s="411"/>
      <c r="R445" s="411"/>
      <c r="S445" s="411"/>
      <c r="T445" s="411"/>
      <c r="U445" s="411"/>
      <c r="V445" s="411"/>
      <c r="W445" s="411"/>
      <c r="X445" s="411"/>
      <c r="Y445" s="411"/>
      <c r="Z445" s="411"/>
      <c r="AA445" s="411"/>
      <c r="AB445" s="411"/>
      <c r="AC445" s="411"/>
      <c r="AD445" s="411"/>
      <c r="AE445" s="411"/>
      <c r="AF445" s="411"/>
      <c r="AG445" s="411"/>
    </row>
    <row r="446" ht="14.25" customHeight="1">
      <c r="O446" s="411"/>
      <c r="P446" s="411"/>
      <c r="Q446" s="411"/>
      <c r="R446" s="411"/>
      <c r="S446" s="411"/>
      <c r="T446" s="411"/>
      <c r="U446" s="411"/>
      <c r="V446" s="411"/>
      <c r="W446" s="411"/>
      <c r="X446" s="411"/>
      <c r="Y446" s="411"/>
      <c r="Z446" s="411"/>
      <c r="AA446" s="411"/>
      <c r="AB446" s="411"/>
      <c r="AC446" s="411"/>
      <c r="AD446" s="411"/>
      <c r="AE446" s="411"/>
      <c r="AF446" s="411"/>
      <c r="AG446" s="411"/>
    </row>
    <row r="447" ht="14.25" customHeight="1">
      <c r="O447" s="411"/>
      <c r="P447" s="411"/>
      <c r="Q447" s="411"/>
      <c r="R447" s="411"/>
      <c r="S447" s="411"/>
      <c r="T447" s="411"/>
      <c r="U447" s="411"/>
      <c r="V447" s="411"/>
      <c r="W447" s="411"/>
      <c r="X447" s="411"/>
      <c r="Y447" s="411"/>
      <c r="Z447" s="411"/>
      <c r="AA447" s="411"/>
      <c r="AB447" s="411"/>
      <c r="AC447" s="411"/>
      <c r="AD447" s="411"/>
      <c r="AE447" s="411"/>
      <c r="AF447" s="411"/>
      <c r="AG447" s="411"/>
    </row>
    <row r="448" ht="14.25" customHeight="1">
      <c r="O448" s="411"/>
      <c r="P448" s="411"/>
      <c r="Q448" s="411"/>
      <c r="R448" s="411"/>
      <c r="S448" s="411"/>
      <c r="T448" s="411"/>
      <c r="U448" s="411"/>
      <c r="V448" s="411"/>
      <c r="W448" s="411"/>
      <c r="X448" s="411"/>
      <c r="Y448" s="411"/>
      <c r="Z448" s="411"/>
      <c r="AA448" s="411"/>
      <c r="AB448" s="411"/>
      <c r="AC448" s="411"/>
      <c r="AD448" s="411"/>
      <c r="AE448" s="411"/>
      <c r="AF448" s="411"/>
      <c r="AG448" s="411"/>
    </row>
    <row r="449" ht="14.25" customHeight="1">
      <c r="O449" s="411"/>
      <c r="P449" s="411"/>
      <c r="Q449" s="411"/>
      <c r="R449" s="411"/>
      <c r="S449" s="411"/>
      <c r="T449" s="411"/>
      <c r="U449" s="411"/>
      <c r="V449" s="411"/>
      <c r="W449" s="411"/>
      <c r="X449" s="411"/>
      <c r="Y449" s="411"/>
      <c r="Z449" s="411"/>
      <c r="AA449" s="411"/>
      <c r="AB449" s="411"/>
      <c r="AC449" s="411"/>
      <c r="AD449" s="411"/>
      <c r="AE449" s="411"/>
      <c r="AF449" s="411"/>
      <c r="AG449" s="411"/>
    </row>
    <row r="450" ht="14.25" customHeight="1">
      <c r="O450" s="411"/>
      <c r="P450" s="411"/>
      <c r="Q450" s="411"/>
      <c r="R450" s="411"/>
      <c r="S450" s="411"/>
      <c r="T450" s="411"/>
      <c r="U450" s="411"/>
      <c r="V450" s="411"/>
      <c r="W450" s="411"/>
      <c r="X450" s="411"/>
      <c r="Y450" s="411"/>
      <c r="Z450" s="411"/>
      <c r="AA450" s="411"/>
      <c r="AB450" s="411"/>
      <c r="AC450" s="411"/>
      <c r="AD450" s="411"/>
      <c r="AE450" s="411"/>
      <c r="AF450" s="411"/>
      <c r="AG450" s="411"/>
    </row>
    <row r="451" ht="14.25" customHeight="1">
      <c r="O451" s="411"/>
      <c r="P451" s="411"/>
      <c r="Q451" s="411"/>
      <c r="R451" s="411"/>
      <c r="S451" s="411"/>
      <c r="T451" s="411"/>
      <c r="U451" s="411"/>
      <c r="V451" s="411"/>
      <c r="W451" s="411"/>
      <c r="X451" s="411"/>
      <c r="Y451" s="411"/>
      <c r="Z451" s="411"/>
      <c r="AA451" s="411"/>
      <c r="AB451" s="411"/>
      <c r="AC451" s="411"/>
      <c r="AD451" s="411"/>
      <c r="AE451" s="411"/>
      <c r="AF451" s="411"/>
      <c r="AG451" s="411"/>
    </row>
    <row r="452" ht="14.25" customHeight="1">
      <c r="O452" s="411"/>
      <c r="P452" s="411"/>
      <c r="Q452" s="411"/>
      <c r="R452" s="411"/>
      <c r="S452" s="411"/>
      <c r="T452" s="411"/>
      <c r="U452" s="411"/>
      <c r="V452" s="411"/>
      <c r="W452" s="411"/>
      <c r="X452" s="411"/>
      <c r="Y452" s="411"/>
      <c r="Z452" s="411"/>
      <c r="AA452" s="411"/>
      <c r="AB452" s="411"/>
      <c r="AC452" s="411"/>
      <c r="AD452" s="411"/>
      <c r="AE452" s="411"/>
      <c r="AF452" s="411"/>
      <c r="AG452" s="411"/>
    </row>
    <row r="453" ht="14.25" customHeight="1">
      <c r="O453" s="411"/>
      <c r="P453" s="411"/>
      <c r="Q453" s="411"/>
      <c r="R453" s="411"/>
      <c r="S453" s="411"/>
      <c r="T453" s="411"/>
      <c r="U453" s="411"/>
      <c r="V453" s="411"/>
      <c r="W453" s="411"/>
      <c r="X453" s="411"/>
      <c r="Y453" s="411"/>
      <c r="Z453" s="411"/>
      <c r="AA453" s="411"/>
      <c r="AB453" s="411"/>
      <c r="AC453" s="411"/>
      <c r="AD453" s="411"/>
      <c r="AE453" s="411"/>
      <c r="AF453" s="411"/>
      <c r="AG453" s="411"/>
    </row>
    <row r="454" ht="14.25" customHeight="1">
      <c r="O454" s="411"/>
      <c r="P454" s="411"/>
      <c r="Q454" s="411"/>
      <c r="R454" s="411"/>
      <c r="S454" s="411"/>
      <c r="T454" s="411"/>
      <c r="U454" s="411"/>
      <c r="V454" s="411"/>
      <c r="W454" s="411"/>
      <c r="X454" s="411"/>
      <c r="Y454" s="411"/>
      <c r="Z454" s="411"/>
      <c r="AA454" s="411"/>
      <c r="AB454" s="411"/>
      <c r="AC454" s="411"/>
      <c r="AD454" s="411"/>
      <c r="AE454" s="411"/>
      <c r="AF454" s="411"/>
      <c r="AG454" s="411"/>
    </row>
    <row r="455" ht="14.25" customHeight="1">
      <c r="O455" s="411"/>
      <c r="P455" s="411"/>
      <c r="Q455" s="411"/>
      <c r="R455" s="411"/>
      <c r="S455" s="411"/>
      <c r="T455" s="411"/>
      <c r="U455" s="411"/>
      <c r="V455" s="411"/>
      <c r="W455" s="411"/>
      <c r="X455" s="411"/>
      <c r="Y455" s="411"/>
      <c r="Z455" s="411"/>
      <c r="AA455" s="411"/>
      <c r="AB455" s="411"/>
      <c r="AC455" s="411"/>
      <c r="AD455" s="411"/>
      <c r="AE455" s="411"/>
      <c r="AF455" s="411"/>
      <c r="AG455" s="411"/>
    </row>
    <row r="456" ht="14.25" customHeight="1">
      <c r="O456" s="411"/>
      <c r="P456" s="411"/>
      <c r="Q456" s="411"/>
      <c r="R456" s="411"/>
      <c r="S456" s="411"/>
      <c r="T456" s="411"/>
      <c r="U456" s="411"/>
      <c r="V456" s="411"/>
      <c r="W456" s="411"/>
      <c r="X456" s="411"/>
      <c r="Y456" s="411"/>
      <c r="Z456" s="411"/>
      <c r="AA456" s="411"/>
      <c r="AB456" s="411"/>
      <c r="AC456" s="411"/>
      <c r="AD456" s="411"/>
      <c r="AE456" s="411"/>
      <c r="AF456" s="411"/>
      <c r="AG456" s="411"/>
    </row>
    <row r="457" ht="14.25" customHeight="1">
      <c r="O457" s="411"/>
      <c r="P457" s="411"/>
      <c r="Q457" s="411"/>
      <c r="R457" s="411"/>
      <c r="S457" s="411"/>
      <c r="T457" s="411"/>
      <c r="U457" s="411"/>
      <c r="V457" s="411"/>
      <c r="W457" s="411"/>
      <c r="X457" s="411"/>
      <c r="Y457" s="411"/>
      <c r="Z457" s="411"/>
      <c r="AA457" s="411"/>
      <c r="AB457" s="411"/>
      <c r="AC457" s="411"/>
      <c r="AD457" s="411"/>
      <c r="AE457" s="411"/>
      <c r="AF457" s="411"/>
      <c r="AG457" s="411"/>
    </row>
    <row r="458" ht="14.25" customHeight="1">
      <c r="O458" s="411"/>
      <c r="P458" s="411"/>
      <c r="Q458" s="411"/>
      <c r="R458" s="411"/>
      <c r="S458" s="411"/>
      <c r="T458" s="411"/>
      <c r="U458" s="411"/>
      <c r="V458" s="411"/>
      <c r="W458" s="411"/>
      <c r="X458" s="411"/>
      <c r="Y458" s="411"/>
      <c r="Z458" s="411"/>
      <c r="AA458" s="411"/>
      <c r="AB458" s="411"/>
      <c r="AC458" s="411"/>
      <c r="AD458" s="411"/>
      <c r="AE458" s="411"/>
      <c r="AF458" s="411"/>
      <c r="AG458" s="411"/>
    </row>
    <row r="459" ht="14.25" customHeight="1">
      <c r="O459" s="411"/>
      <c r="P459" s="411"/>
      <c r="Q459" s="411"/>
      <c r="R459" s="411"/>
      <c r="S459" s="411"/>
      <c r="T459" s="411"/>
      <c r="U459" s="411"/>
      <c r="V459" s="411"/>
      <c r="W459" s="411"/>
      <c r="X459" s="411"/>
      <c r="Y459" s="411"/>
      <c r="Z459" s="411"/>
      <c r="AA459" s="411"/>
      <c r="AB459" s="411"/>
      <c r="AC459" s="411"/>
      <c r="AD459" s="411"/>
      <c r="AE459" s="411"/>
      <c r="AF459" s="411"/>
      <c r="AG459" s="411"/>
    </row>
    <row r="460" ht="14.25" customHeight="1">
      <c r="O460" s="411"/>
      <c r="P460" s="411"/>
      <c r="Q460" s="411"/>
      <c r="R460" s="411"/>
      <c r="S460" s="411"/>
      <c r="T460" s="411"/>
      <c r="U460" s="411"/>
      <c r="V460" s="411"/>
      <c r="W460" s="411"/>
      <c r="X460" s="411"/>
      <c r="Y460" s="411"/>
      <c r="Z460" s="411"/>
      <c r="AA460" s="411"/>
      <c r="AB460" s="411"/>
      <c r="AC460" s="411"/>
      <c r="AD460" s="411"/>
      <c r="AE460" s="411"/>
      <c r="AF460" s="411"/>
      <c r="AG460" s="411"/>
    </row>
    <row r="461" ht="14.25" customHeight="1">
      <c r="O461" s="411"/>
      <c r="P461" s="411"/>
      <c r="Q461" s="411"/>
      <c r="R461" s="411"/>
      <c r="S461" s="411"/>
      <c r="T461" s="411"/>
      <c r="U461" s="411"/>
      <c r="V461" s="411"/>
      <c r="W461" s="411"/>
      <c r="X461" s="411"/>
      <c r="Y461" s="411"/>
      <c r="Z461" s="411"/>
      <c r="AA461" s="411"/>
      <c r="AB461" s="411"/>
      <c r="AC461" s="411"/>
      <c r="AD461" s="411"/>
      <c r="AE461" s="411"/>
      <c r="AF461" s="411"/>
      <c r="AG461" s="411"/>
    </row>
    <row r="462" ht="14.25" customHeight="1">
      <c r="O462" s="411"/>
      <c r="P462" s="411"/>
      <c r="Q462" s="411"/>
      <c r="R462" s="411"/>
      <c r="S462" s="411"/>
      <c r="T462" s="411"/>
      <c r="U462" s="411"/>
      <c r="V462" s="411"/>
      <c r="W462" s="411"/>
      <c r="X462" s="411"/>
      <c r="Y462" s="411"/>
      <c r="Z462" s="411"/>
      <c r="AA462" s="411"/>
      <c r="AB462" s="411"/>
      <c r="AC462" s="411"/>
      <c r="AD462" s="411"/>
      <c r="AE462" s="411"/>
      <c r="AF462" s="411"/>
      <c r="AG462" s="411"/>
    </row>
    <row r="463" ht="14.25" customHeight="1">
      <c r="O463" s="411"/>
      <c r="P463" s="411"/>
      <c r="Q463" s="411"/>
      <c r="R463" s="411"/>
      <c r="S463" s="411"/>
      <c r="T463" s="411"/>
      <c r="U463" s="411"/>
      <c r="V463" s="411"/>
      <c r="W463" s="411"/>
      <c r="X463" s="411"/>
      <c r="Y463" s="411"/>
      <c r="Z463" s="411"/>
      <c r="AA463" s="411"/>
      <c r="AB463" s="411"/>
      <c r="AC463" s="411"/>
      <c r="AD463" s="411"/>
      <c r="AE463" s="411"/>
      <c r="AF463" s="411"/>
      <c r="AG463" s="411"/>
    </row>
    <row r="464" ht="14.25" customHeight="1">
      <c r="O464" s="411"/>
      <c r="P464" s="411"/>
      <c r="Q464" s="411"/>
      <c r="R464" s="411"/>
      <c r="S464" s="411"/>
      <c r="T464" s="411"/>
      <c r="U464" s="411"/>
      <c r="V464" s="411"/>
      <c r="W464" s="411"/>
      <c r="X464" s="411"/>
      <c r="Y464" s="411"/>
      <c r="Z464" s="411"/>
      <c r="AA464" s="411"/>
      <c r="AB464" s="411"/>
      <c r="AC464" s="411"/>
      <c r="AD464" s="411"/>
      <c r="AE464" s="411"/>
      <c r="AF464" s="411"/>
      <c r="AG464" s="411"/>
    </row>
    <row r="465" ht="14.25" customHeight="1">
      <c r="O465" s="411"/>
      <c r="P465" s="411"/>
      <c r="Q465" s="411"/>
      <c r="R465" s="411"/>
      <c r="S465" s="411"/>
      <c r="T465" s="411"/>
      <c r="U465" s="411"/>
      <c r="V465" s="411"/>
      <c r="W465" s="411"/>
      <c r="X465" s="411"/>
      <c r="Y465" s="411"/>
      <c r="Z465" s="411"/>
      <c r="AA465" s="411"/>
      <c r="AB465" s="411"/>
      <c r="AC465" s="411"/>
      <c r="AD465" s="411"/>
      <c r="AE465" s="411"/>
      <c r="AF465" s="411"/>
      <c r="AG465" s="411"/>
    </row>
    <row r="466" ht="14.25" customHeight="1">
      <c r="O466" s="411"/>
      <c r="P466" s="411"/>
      <c r="Q466" s="411"/>
      <c r="R466" s="411"/>
      <c r="S466" s="411"/>
      <c r="T466" s="411"/>
      <c r="U466" s="411"/>
      <c r="V466" s="411"/>
      <c r="W466" s="411"/>
      <c r="X466" s="411"/>
      <c r="Y466" s="411"/>
      <c r="Z466" s="411"/>
      <c r="AA466" s="411"/>
      <c r="AB466" s="411"/>
      <c r="AC466" s="411"/>
      <c r="AD466" s="411"/>
      <c r="AE466" s="411"/>
      <c r="AF466" s="411"/>
      <c r="AG466" s="411"/>
    </row>
    <row r="467" ht="14.25" customHeight="1">
      <c r="O467" s="411"/>
      <c r="P467" s="411"/>
      <c r="Q467" s="411"/>
      <c r="R467" s="411"/>
      <c r="S467" s="411"/>
      <c r="T467" s="411"/>
      <c r="U467" s="411"/>
      <c r="V467" s="411"/>
      <c r="W467" s="411"/>
      <c r="X467" s="411"/>
      <c r="Y467" s="411"/>
      <c r="Z467" s="411"/>
      <c r="AA467" s="411"/>
      <c r="AB467" s="411"/>
      <c r="AC467" s="411"/>
      <c r="AD467" s="411"/>
      <c r="AE467" s="411"/>
      <c r="AF467" s="411"/>
      <c r="AG467" s="411"/>
    </row>
    <row r="468" ht="14.25" customHeight="1">
      <c r="O468" s="411"/>
      <c r="P468" s="411"/>
      <c r="Q468" s="411"/>
      <c r="R468" s="411"/>
      <c r="S468" s="411"/>
      <c r="T468" s="411"/>
      <c r="U468" s="411"/>
      <c r="V468" s="411"/>
      <c r="W468" s="411"/>
      <c r="X468" s="411"/>
      <c r="Y468" s="411"/>
      <c r="Z468" s="411"/>
      <c r="AA468" s="411"/>
      <c r="AB468" s="411"/>
      <c r="AC468" s="411"/>
      <c r="AD468" s="411"/>
      <c r="AE468" s="411"/>
      <c r="AF468" s="411"/>
      <c r="AG468" s="411"/>
    </row>
    <row r="469" ht="14.25" customHeight="1">
      <c r="O469" s="411"/>
      <c r="P469" s="411"/>
      <c r="Q469" s="411"/>
      <c r="R469" s="411"/>
      <c r="S469" s="411"/>
      <c r="T469" s="411"/>
      <c r="U469" s="411"/>
      <c r="V469" s="411"/>
      <c r="W469" s="411"/>
      <c r="X469" s="411"/>
      <c r="Y469" s="411"/>
      <c r="Z469" s="411"/>
      <c r="AA469" s="411"/>
      <c r="AB469" s="411"/>
      <c r="AC469" s="411"/>
      <c r="AD469" s="411"/>
      <c r="AE469" s="411"/>
      <c r="AF469" s="411"/>
      <c r="AG469" s="411"/>
    </row>
    <row r="470" ht="14.25" customHeight="1">
      <c r="O470" s="411"/>
      <c r="P470" s="411"/>
      <c r="Q470" s="411"/>
      <c r="R470" s="411"/>
      <c r="S470" s="411"/>
      <c r="T470" s="411"/>
      <c r="U470" s="411"/>
      <c r="V470" s="411"/>
      <c r="W470" s="411"/>
      <c r="X470" s="411"/>
      <c r="Y470" s="411"/>
      <c r="Z470" s="411"/>
      <c r="AA470" s="411"/>
      <c r="AB470" s="411"/>
      <c r="AC470" s="411"/>
      <c r="AD470" s="411"/>
      <c r="AE470" s="411"/>
      <c r="AF470" s="411"/>
      <c r="AG470" s="411"/>
    </row>
    <row r="471" ht="14.25" customHeight="1">
      <c r="O471" s="411"/>
      <c r="P471" s="411"/>
      <c r="Q471" s="411"/>
      <c r="R471" s="411"/>
      <c r="S471" s="411"/>
      <c r="T471" s="411"/>
      <c r="U471" s="411"/>
      <c r="V471" s="411"/>
      <c r="W471" s="411"/>
      <c r="X471" s="411"/>
      <c r="Y471" s="411"/>
      <c r="Z471" s="411"/>
      <c r="AA471" s="411"/>
      <c r="AB471" s="411"/>
      <c r="AC471" s="411"/>
      <c r="AD471" s="411"/>
      <c r="AE471" s="411"/>
      <c r="AF471" s="411"/>
      <c r="AG471" s="411"/>
    </row>
    <row r="472" ht="14.25" customHeight="1">
      <c r="O472" s="411"/>
      <c r="P472" s="411"/>
      <c r="Q472" s="411"/>
      <c r="R472" s="411"/>
      <c r="S472" s="411"/>
      <c r="T472" s="411"/>
      <c r="U472" s="411"/>
      <c r="V472" s="411"/>
      <c r="W472" s="411"/>
      <c r="X472" s="411"/>
      <c r="Y472" s="411"/>
      <c r="Z472" s="411"/>
      <c r="AA472" s="411"/>
      <c r="AB472" s="411"/>
      <c r="AC472" s="411"/>
      <c r="AD472" s="411"/>
      <c r="AE472" s="411"/>
      <c r="AF472" s="411"/>
      <c r="AG472" s="411"/>
    </row>
    <row r="473" ht="14.25" customHeight="1">
      <c r="O473" s="411"/>
      <c r="P473" s="411"/>
      <c r="Q473" s="411"/>
      <c r="R473" s="411"/>
      <c r="S473" s="411"/>
      <c r="T473" s="411"/>
      <c r="U473" s="411"/>
      <c r="V473" s="411"/>
      <c r="W473" s="411"/>
      <c r="X473" s="411"/>
      <c r="Y473" s="411"/>
      <c r="Z473" s="411"/>
      <c r="AA473" s="411"/>
      <c r="AB473" s="411"/>
      <c r="AC473" s="411"/>
      <c r="AD473" s="411"/>
      <c r="AE473" s="411"/>
      <c r="AF473" s="411"/>
      <c r="AG473" s="411"/>
    </row>
    <row r="474" ht="14.25" customHeight="1">
      <c r="O474" s="411"/>
      <c r="P474" s="411"/>
      <c r="Q474" s="411"/>
      <c r="R474" s="411"/>
      <c r="S474" s="411"/>
      <c r="T474" s="411"/>
      <c r="U474" s="411"/>
      <c r="V474" s="411"/>
      <c r="W474" s="411"/>
      <c r="X474" s="411"/>
      <c r="Y474" s="411"/>
      <c r="Z474" s="411"/>
      <c r="AA474" s="411"/>
      <c r="AB474" s="411"/>
      <c r="AC474" s="411"/>
      <c r="AD474" s="411"/>
      <c r="AE474" s="411"/>
      <c r="AF474" s="411"/>
      <c r="AG474" s="411"/>
    </row>
    <row r="475" ht="14.25" customHeight="1">
      <c r="O475" s="411"/>
      <c r="P475" s="411"/>
      <c r="Q475" s="411"/>
      <c r="R475" s="411"/>
      <c r="S475" s="411"/>
      <c r="T475" s="411"/>
      <c r="U475" s="411"/>
      <c r="V475" s="411"/>
      <c r="W475" s="411"/>
      <c r="X475" s="411"/>
      <c r="Y475" s="411"/>
      <c r="Z475" s="411"/>
      <c r="AA475" s="411"/>
      <c r="AB475" s="411"/>
      <c r="AC475" s="411"/>
      <c r="AD475" s="411"/>
      <c r="AE475" s="411"/>
      <c r="AF475" s="411"/>
      <c r="AG475" s="411"/>
    </row>
    <row r="476" ht="14.25" customHeight="1">
      <c r="O476" s="411"/>
      <c r="P476" s="411"/>
      <c r="Q476" s="411"/>
      <c r="R476" s="411"/>
      <c r="S476" s="411"/>
      <c r="T476" s="411"/>
      <c r="U476" s="411"/>
      <c r="V476" s="411"/>
      <c r="W476" s="411"/>
      <c r="X476" s="411"/>
      <c r="Y476" s="411"/>
      <c r="Z476" s="411"/>
      <c r="AA476" s="411"/>
      <c r="AB476" s="411"/>
      <c r="AC476" s="411"/>
      <c r="AD476" s="411"/>
      <c r="AE476" s="411"/>
      <c r="AF476" s="411"/>
      <c r="AG476" s="411"/>
    </row>
    <row r="477" ht="14.25" customHeight="1">
      <c r="O477" s="411"/>
      <c r="P477" s="411"/>
      <c r="Q477" s="411"/>
      <c r="R477" s="411"/>
      <c r="S477" s="411"/>
      <c r="T477" s="411"/>
      <c r="U477" s="411"/>
      <c r="V477" s="411"/>
      <c r="W477" s="411"/>
      <c r="X477" s="411"/>
      <c r="Y477" s="411"/>
      <c r="Z477" s="411"/>
      <c r="AA477" s="411"/>
      <c r="AB477" s="411"/>
      <c r="AC477" s="411"/>
      <c r="AD477" s="411"/>
      <c r="AE477" s="411"/>
      <c r="AF477" s="411"/>
      <c r="AG477" s="411"/>
    </row>
    <row r="478" ht="14.25" customHeight="1">
      <c r="O478" s="411"/>
      <c r="P478" s="411"/>
      <c r="Q478" s="411"/>
      <c r="R478" s="411"/>
      <c r="S478" s="411"/>
      <c r="T478" s="411"/>
      <c r="U478" s="411"/>
      <c r="V478" s="411"/>
      <c r="W478" s="411"/>
      <c r="X478" s="411"/>
      <c r="Y478" s="411"/>
      <c r="Z478" s="411"/>
      <c r="AA478" s="411"/>
      <c r="AB478" s="411"/>
      <c r="AC478" s="411"/>
      <c r="AD478" s="411"/>
      <c r="AE478" s="411"/>
      <c r="AF478" s="411"/>
      <c r="AG478" s="411"/>
    </row>
    <row r="479" ht="14.25" customHeight="1">
      <c r="O479" s="411"/>
      <c r="P479" s="411"/>
      <c r="Q479" s="411"/>
      <c r="R479" s="411"/>
      <c r="S479" s="411"/>
      <c r="T479" s="411"/>
      <c r="U479" s="411"/>
      <c r="V479" s="411"/>
      <c r="W479" s="411"/>
      <c r="X479" s="411"/>
      <c r="Y479" s="411"/>
      <c r="Z479" s="411"/>
      <c r="AA479" s="411"/>
      <c r="AB479" s="411"/>
      <c r="AC479" s="411"/>
      <c r="AD479" s="411"/>
      <c r="AE479" s="411"/>
      <c r="AF479" s="411"/>
      <c r="AG479" s="411"/>
    </row>
    <row r="480" ht="14.25" customHeight="1">
      <c r="O480" s="411"/>
      <c r="P480" s="411"/>
      <c r="Q480" s="411"/>
      <c r="R480" s="411"/>
      <c r="S480" s="411"/>
      <c r="T480" s="411"/>
      <c r="U480" s="411"/>
      <c r="V480" s="411"/>
      <c r="W480" s="411"/>
      <c r="X480" s="411"/>
      <c r="Y480" s="411"/>
      <c r="Z480" s="411"/>
      <c r="AA480" s="411"/>
      <c r="AB480" s="411"/>
      <c r="AC480" s="411"/>
      <c r="AD480" s="411"/>
      <c r="AE480" s="411"/>
      <c r="AF480" s="411"/>
      <c r="AG480" s="411"/>
    </row>
    <row r="481" ht="14.25" customHeight="1">
      <c r="O481" s="411"/>
      <c r="P481" s="411"/>
      <c r="Q481" s="411"/>
      <c r="R481" s="411"/>
      <c r="S481" s="411"/>
      <c r="T481" s="411"/>
      <c r="U481" s="411"/>
      <c r="V481" s="411"/>
      <c r="W481" s="411"/>
      <c r="X481" s="411"/>
      <c r="Y481" s="411"/>
      <c r="Z481" s="411"/>
      <c r="AA481" s="411"/>
      <c r="AB481" s="411"/>
      <c r="AC481" s="411"/>
      <c r="AD481" s="411"/>
      <c r="AE481" s="411"/>
      <c r="AF481" s="411"/>
      <c r="AG481" s="411"/>
    </row>
    <row r="482" ht="14.25" customHeight="1">
      <c r="O482" s="411"/>
      <c r="P482" s="411"/>
      <c r="Q482" s="411"/>
      <c r="R482" s="411"/>
      <c r="S482" s="411"/>
      <c r="T482" s="411"/>
      <c r="U482" s="411"/>
      <c r="V482" s="411"/>
      <c r="W482" s="411"/>
      <c r="X482" s="411"/>
      <c r="Y482" s="411"/>
      <c r="Z482" s="411"/>
      <c r="AA482" s="411"/>
      <c r="AB482" s="411"/>
      <c r="AC482" s="411"/>
      <c r="AD482" s="411"/>
      <c r="AE482" s="411"/>
      <c r="AF482" s="411"/>
      <c r="AG482" s="411"/>
    </row>
    <row r="483" ht="14.25" customHeight="1">
      <c r="O483" s="411"/>
      <c r="P483" s="411"/>
      <c r="Q483" s="411"/>
      <c r="R483" s="411"/>
      <c r="S483" s="411"/>
      <c r="T483" s="411"/>
      <c r="U483" s="411"/>
      <c r="V483" s="411"/>
      <c r="W483" s="411"/>
      <c r="X483" s="411"/>
      <c r="Y483" s="411"/>
      <c r="Z483" s="411"/>
      <c r="AA483" s="411"/>
      <c r="AB483" s="411"/>
      <c r="AC483" s="411"/>
      <c r="AD483" s="411"/>
      <c r="AE483" s="411"/>
      <c r="AF483" s="411"/>
      <c r="AG483" s="411"/>
    </row>
    <row r="484" ht="14.25" customHeight="1">
      <c r="O484" s="411"/>
      <c r="P484" s="411"/>
      <c r="Q484" s="411"/>
      <c r="R484" s="411"/>
      <c r="S484" s="411"/>
      <c r="T484" s="411"/>
      <c r="U484" s="411"/>
      <c r="V484" s="411"/>
      <c r="W484" s="411"/>
      <c r="X484" s="411"/>
      <c r="Y484" s="411"/>
      <c r="Z484" s="411"/>
      <c r="AA484" s="411"/>
      <c r="AB484" s="411"/>
      <c r="AC484" s="411"/>
      <c r="AD484" s="411"/>
      <c r="AE484" s="411"/>
      <c r="AF484" s="411"/>
      <c r="AG484" s="411"/>
    </row>
    <row r="485" ht="14.25" customHeight="1">
      <c r="O485" s="411"/>
      <c r="P485" s="411"/>
      <c r="Q485" s="411"/>
      <c r="R485" s="411"/>
      <c r="S485" s="411"/>
      <c r="T485" s="411"/>
      <c r="U485" s="411"/>
      <c r="V485" s="411"/>
      <c r="W485" s="411"/>
      <c r="X485" s="411"/>
      <c r="Y485" s="411"/>
      <c r="Z485" s="411"/>
      <c r="AA485" s="411"/>
      <c r="AB485" s="411"/>
      <c r="AC485" s="411"/>
      <c r="AD485" s="411"/>
      <c r="AE485" s="411"/>
      <c r="AF485" s="411"/>
      <c r="AG485" s="411"/>
    </row>
    <row r="486" ht="14.25" customHeight="1">
      <c r="O486" s="411"/>
      <c r="P486" s="411"/>
      <c r="Q486" s="411"/>
      <c r="R486" s="411"/>
      <c r="S486" s="411"/>
      <c r="T486" s="411"/>
      <c r="U486" s="411"/>
      <c r="V486" s="411"/>
      <c r="W486" s="411"/>
      <c r="X486" s="411"/>
      <c r="Y486" s="411"/>
      <c r="Z486" s="411"/>
      <c r="AA486" s="411"/>
      <c r="AB486" s="411"/>
      <c r="AC486" s="411"/>
      <c r="AD486" s="411"/>
      <c r="AE486" s="411"/>
      <c r="AF486" s="411"/>
      <c r="AG486" s="411"/>
    </row>
    <row r="487" ht="14.25" customHeight="1">
      <c r="O487" s="411"/>
      <c r="P487" s="411"/>
      <c r="Q487" s="411"/>
      <c r="R487" s="411"/>
      <c r="S487" s="411"/>
      <c r="T487" s="411"/>
      <c r="U487" s="411"/>
      <c r="V487" s="411"/>
      <c r="W487" s="411"/>
      <c r="X487" s="411"/>
      <c r="Y487" s="411"/>
      <c r="Z487" s="411"/>
      <c r="AA487" s="411"/>
      <c r="AB487" s="411"/>
      <c r="AC487" s="411"/>
      <c r="AD487" s="411"/>
      <c r="AE487" s="411"/>
      <c r="AF487" s="411"/>
      <c r="AG487" s="411"/>
    </row>
    <row r="488" ht="14.25" customHeight="1">
      <c r="O488" s="411"/>
      <c r="P488" s="411"/>
      <c r="Q488" s="411"/>
      <c r="R488" s="411"/>
      <c r="S488" s="411"/>
      <c r="T488" s="411"/>
      <c r="U488" s="411"/>
      <c r="V488" s="411"/>
      <c r="W488" s="411"/>
      <c r="X488" s="411"/>
      <c r="Y488" s="411"/>
      <c r="Z488" s="411"/>
      <c r="AA488" s="411"/>
      <c r="AB488" s="411"/>
      <c r="AC488" s="411"/>
      <c r="AD488" s="411"/>
      <c r="AE488" s="411"/>
      <c r="AF488" s="411"/>
      <c r="AG488" s="411"/>
    </row>
    <row r="489" ht="14.25" customHeight="1">
      <c r="O489" s="411"/>
      <c r="P489" s="411"/>
      <c r="Q489" s="411"/>
      <c r="R489" s="411"/>
      <c r="S489" s="411"/>
      <c r="T489" s="411"/>
      <c r="U489" s="411"/>
      <c r="V489" s="411"/>
      <c r="W489" s="411"/>
      <c r="X489" s="411"/>
      <c r="Y489" s="411"/>
      <c r="Z489" s="411"/>
      <c r="AA489" s="411"/>
      <c r="AB489" s="411"/>
      <c r="AC489" s="411"/>
      <c r="AD489" s="411"/>
      <c r="AE489" s="411"/>
      <c r="AF489" s="411"/>
      <c r="AG489" s="411"/>
    </row>
    <row r="490" ht="14.25" customHeight="1">
      <c r="O490" s="411"/>
      <c r="P490" s="411"/>
      <c r="Q490" s="411"/>
      <c r="R490" s="411"/>
      <c r="S490" s="411"/>
      <c r="T490" s="411"/>
      <c r="U490" s="411"/>
      <c r="V490" s="411"/>
      <c r="W490" s="411"/>
      <c r="X490" s="411"/>
      <c r="Y490" s="411"/>
      <c r="Z490" s="411"/>
      <c r="AA490" s="411"/>
      <c r="AB490" s="411"/>
      <c r="AC490" s="411"/>
      <c r="AD490" s="411"/>
      <c r="AE490" s="411"/>
      <c r="AF490" s="411"/>
      <c r="AG490" s="411"/>
    </row>
    <row r="491" ht="14.25" customHeight="1">
      <c r="O491" s="411"/>
      <c r="P491" s="411"/>
      <c r="Q491" s="411"/>
      <c r="R491" s="411"/>
      <c r="S491" s="411"/>
      <c r="T491" s="411"/>
      <c r="U491" s="411"/>
      <c r="V491" s="411"/>
      <c r="W491" s="411"/>
      <c r="X491" s="411"/>
      <c r="Y491" s="411"/>
      <c r="Z491" s="411"/>
      <c r="AA491" s="411"/>
      <c r="AB491" s="411"/>
      <c r="AC491" s="411"/>
      <c r="AD491" s="411"/>
      <c r="AE491" s="411"/>
      <c r="AF491" s="411"/>
      <c r="AG491" s="411"/>
    </row>
    <row r="492" ht="14.25" customHeight="1">
      <c r="O492" s="411"/>
      <c r="P492" s="411"/>
      <c r="Q492" s="411"/>
      <c r="R492" s="411"/>
      <c r="S492" s="411"/>
      <c r="T492" s="411"/>
      <c r="U492" s="411"/>
      <c r="V492" s="411"/>
      <c r="W492" s="411"/>
      <c r="X492" s="411"/>
      <c r="Y492" s="411"/>
      <c r="Z492" s="411"/>
      <c r="AA492" s="411"/>
      <c r="AB492" s="411"/>
      <c r="AC492" s="411"/>
      <c r="AD492" s="411"/>
      <c r="AE492" s="411"/>
      <c r="AF492" s="411"/>
      <c r="AG492" s="411"/>
    </row>
    <row r="493" ht="14.25" customHeight="1">
      <c r="O493" s="411"/>
      <c r="P493" s="411"/>
      <c r="Q493" s="411"/>
      <c r="R493" s="411"/>
      <c r="S493" s="411"/>
      <c r="T493" s="411"/>
      <c r="U493" s="411"/>
      <c r="V493" s="411"/>
      <c r="W493" s="411"/>
      <c r="X493" s="411"/>
      <c r="Y493" s="411"/>
      <c r="Z493" s="411"/>
      <c r="AA493" s="411"/>
      <c r="AB493" s="411"/>
      <c r="AC493" s="411"/>
      <c r="AD493" s="411"/>
      <c r="AE493" s="411"/>
      <c r="AF493" s="411"/>
      <c r="AG493" s="411"/>
    </row>
    <row r="494" ht="14.25" customHeight="1">
      <c r="O494" s="411"/>
      <c r="P494" s="411"/>
      <c r="Q494" s="411"/>
      <c r="R494" s="411"/>
      <c r="S494" s="411"/>
      <c r="T494" s="411"/>
      <c r="U494" s="411"/>
      <c r="V494" s="411"/>
      <c r="W494" s="411"/>
      <c r="X494" s="411"/>
      <c r="Y494" s="411"/>
      <c r="Z494" s="411"/>
      <c r="AA494" s="411"/>
      <c r="AB494" s="411"/>
      <c r="AC494" s="411"/>
      <c r="AD494" s="411"/>
      <c r="AE494" s="411"/>
      <c r="AF494" s="411"/>
      <c r="AG494" s="411"/>
    </row>
    <row r="495" ht="14.25" customHeight="1">
      <c r="O495" s="411"/>
      <c r="P495" s="411"/>
      <c r="Q495" s="411"/>
      <c r="R495" s="411"/>
      <c r="S495" s="411"/>
      <c r="T495" s="411"/>
      <c r="U495" s="411"/>
      <c r="V495" s="411"/>
      <c r="W495" s="411"/>
      <c r="X495" s="411"/>
      <c r="Y495" s="411"/>
      <c r="Z495" s="411"/>
      <c r="AA495" s="411"/>
      <c r="AB495" s="411"/>
      <c r="AC495" s="411"/>
      <c r="AD495" s="411"/>
      <c r="AE495" s="411"/>
      <c r="AF495" s="411"/>
      <c r="AG495" s="411"/>
    </row>
    <row r="496" ht="14.25" customHeight="1">
      <c r="O496" s="411"/>
      <c r="P496" s="411"/>
      <c r="Q496" s="411"/>
      <c r="R496" s="411"/>
      <c r="S496" s="411"/>
      <c r="T496" s="411"/>
      <c r="U496" s="411"/>
      <c r="V496" s="411"/>
      <c r="W496" s="411"/>
      <c r="X496" s="411"/>
      <c r="Y496" s="411"/>
      <c r="Z496" s="411"/>
      <c r="AA496" s="411"/>
      <c r="AB496" s="411"/>
      <c r="AC496" s="411"/>
      <c r="AD496" s="411"/>
      <c r="AE496" s="411"/>
      <c r="AF496" s="411"/>
      <c r="AG496" s="411"/>
    </row>
    <row r="497" ht="14.25" customHeight="1">
      <c r="O497" s="411"/>
      <c r="P497" s="411"/>
      <c r="Q497" s="411"/>
      <c r="R497" s="411"/>
      <c r="S497" s="411"/>
      <c r="T497" s="411"/>
      <c r="U497" s="411"/>
      <c r="V497" s="411"/>
      <c r="W497" s="411"/>
      <c r="X497" s="411"/>
      <c r="Y497" s="411"/>
      <c r="Z497" s="411"/>
      <c r="AA497" s="411"/>
      <c r="AB497" s="411"/>
      <c r="AC497" s="411"/>
      <c r="AD497" s="411"/>
      <c r="AE497" s="411"/>
      <c r="AF497" s="411"/>
      <c r="AG497" s="411"/>
    </row>
    <row r="498" ht="14.25" customHeight="1">
      <c r="O498" s="411"/>
      <c r="P498" s="411"/>
      <c r="Q498" s="411"/>
      <c r="R498" s="411"/>
      <c r="S498" s="411"/>
      <c r="T498" s="411"/>
      <c r="U498" s="411"/>
      <c r="V498" s="411"/>
      <c r="W498" s="411"/>
      <c r="X498" s="411"/>
      <c r="Y498" s="411"/>
      <c r="Z498" s="411"/>
      <c r="AA498" s="411"/>
      <c r="AB498" s="411"/>
      <c r="AC498" s="411"/>
      <c r="AD498" s="411"/>
      <c r="AE498" s="411"/>
      <c r="AF498" s="411"/>
      <c r="AG498" s="411"/>
    </row>
    <row r="499" ht="14.25" customHeight="1">
      <c r="O499" s="411"/>
      <c r="P499" s="411"/>
      <c r="Q499" s="411"/>
      <c r="R499" s="411"/>
      <c r="S499" s="411"/>
      <c r="T499" s="411"/>
      <c r="U499" s="411"/>
      <c r="V499" s="411"/>
      <c r="W499" s="411"/>
      <c r="X499" s="411"/>
      <c r="Y499" s="411"/>
      <c r="Z499" s="411"/>
      <c r="AA499" s="411"/>
      <c r="AB499" s="411"/>
      <c r="AC499" s="411"/>
      <c r="AD499" s="411"/>
      <c r="AE499" s="411"/>
      <c r="AF499" s="411"/>
      <c r="AG499" s="411"/>
    </row>
    <row r="500" ht="14.25" customHeight="1">
      <c r="O500" s="411"/>
      <c r="P500" s="411"/>
      <c r="Q500" s="411"/>
      <c r="R500" s="411"/>
      <c r="S500" s="411"/>
      <c r="T500" s="411"/>
      <c r="U500" s="411"/>
      <c r="V500" s="411"/>
      <c r="W500" s="411"/>
      <c r="X500" s="411"/>
      <c r="Y500" s="411"/>
      <c r="Z500" s="411"/>
      <c r="AA500" s="411"/>
      <c r="AB500" s="411"/>
      <c r="AC500" s="411"/>
      <c r="AD500" s="411"/>
      <c r="AE500" s="411"/>
      <c r="AF500" s="411"/>
      <c r="AG500" s="411"/>
    </row>
    <row r="501" ht="14.25" customHeight="1">
      <c r="O501" s="411"/>
      <c r="P501" s="411"/>
      <c r="Q501" s="411"/>
      <c r="R501" s="411"/>
      <c r="S501" s="411"/>
      <c r="T501" s="411"/>
      <c r="U501" s="411"/>
      <c r="V501" s="411"/>
      <c r="W501" s="411"/>
      <c r="X501" s="411"/>
      <c r="Y501" s="411"/>
      <c r="Z501" s="411"/>
      <c r="AA501" s="411"/>
      <c r="AB501" s="411"/>
      <c r="AC501" s="411"/>
      <c r="AD501" s="411"/>
      <c r="AE501" s="411"/>
      <c r="AF501" s="411"/>
      <c r="AG501" s="411"/>
    </row>
    <row r="502" ht="14.25" customHeight="1">
      <c r="O502" s="411"/>
      <c r="P502" s="411"/>
      <c r="Q502" s="411"/>
      <c r="R502" s="411"/>
      <c r="S502" s="411"/>
      <c r="T502" s="411"/>
      <c r="U502" s="411"/>
      <c r="V502" s="411"/>
      <c r="W502" s="411"/>
      <c r="X502" s="411"/>
      <c r="Y502" s="411"/>
      <c r="Z502" s="411"/>
      <c r="AA502" s="411"/>
      <c r="AB502" s="411"/>
      <c r="AC502" s="411"/>
      <c r="AD502" s="411"/>
      <c r="AE502" s="411"/>
      <c r="AF502" s="411"/>
      <c r="AG502" s="411"/>
    </row>
    <row r="503" ht="14.25" customHeight="1">
      <c r="O503" s="411"/>
      <c r="P503" s="411"/>
      <c r="Q503" s="411"/>
      <c r="R503" s="411"/>
      <c r="S503" s="411"/>
      <c r="T503" s="411"/>
      <c r="U503" s="411"/>
      <c r="V503" s="411"/>
      <c r="W503" s="411"/>
      <c r="X503" s="411"/>
      <c r="Y503" s="411"/>
      <c r="Z503" s="411"/>
      <c r="AA503" s="411"/>
      <c r="AB503" s="411"/>
      <c r="AC503" s="411"/>
      <c r="AD503" s="411"/>
      <c r="AE503" s="411"/>
      <c r="AF503" s="411"/>
      <c r="AG503" s="411"/>
    </row>
    <row r="504" ht="14.25" customHeight="1">
      <c r="O504" s="411"/>
      <c r="P504" s="411"/>
      <c r="Q504" s="411"/>
      <c r="R504" s="411"/>
      <c r="S504" s="411"/>
      <c r="T504" s="411"/>
      <c r="U504" s="411"/>
      <c r="V504" s="411"/>
      <c r="W504" s="411"/>
      <c r="X504" s="411"/>
      <c r="Y504" s="411"/>
      <c r="Z504" s="411"/>
      <c r="AA504" s="411"/>
      <c r="AB504" s="411"/>
      <c r="AC504" s="411"/>
      <c r="AD504" s="411"/>
      <c r="AE504" s="411"/>
      <c r="AF504" s="411"/>
      <c r="AG504" s="411"/>
    </row>
    <row r="505" ht="14.25" customHeight="1">
      <c r="O505" s="411"/>
      <c r="P505" s="411"/>
      <c r="Q505" s="411"/>
      <c r="R505" s="411"/>
      <c r="S505" s="411"/>
      <c r="T505" s="411"/>
      <c r="U505" s="411"/>
      <c r="V505" s="411"/>
      <c r="W505" s="411"/>
      <c r="X505" s="411"/>
      <c r="Y505" s="411"/>
      <c r="Z505" s="411"/>
      <c r="AA505" s="411"/>
      <c r="AB505" s="411"/>
      <c r="AC505" s="411"/>
      <c r="AD505" s="411"/>
      <c r="AE505" s="411"/>
      <c r="AF505" s="411"/>
      <c r="AG505" s="411"/>
    </row>
    <row r="506" ht="14.25" customHeight="1">
      <c r="O506" s="411"/>
      <c r="P506" s="411"/>
      <c r="Q506" s="411"/>
      <c r="R506" s="411"/>
      <c r="S506" s="411"/>
      <c r="T506" s="411"/>
      <c r="U506" s="411"/>
      <c r="V506" s="411"/>
      <c r="W506" s="411"/>
      <c r="X506" s="411"/>
      <c r="Y506" s="411"/>
      <c r="Z506" s="411"/>
      <c r="AA506" s="411"/>
      <c r="AB506" s="411"/>
      <c r="AC506" s="411"/>
      <c r="AD506" s="411"/>
      <c r="AE506" s="411"/>
      <c r="AF506" s="411"/>
      <c r="AG506" s="411"/>
    </row>
    <row r="507" ht="14.25" customHeight="1">
      <c r="O507" s="411"/>
      <c r="P507" s="411"/>
      <c r="Q507" s="411"/>
      <c r="R507" s="411"/>
      <c r="S507" s="411"/>
      <c r="T507" s="411"/>
      <c r="U507" s="411"/>
      <c r="V507" s="411"/>
      <c r="W507" s="411"/>
      <c r="X507" s="411"/>
      <c r="Y507" s="411"/>
      <c r="Z507" s="411"/>
      <c r="AA507" s="411"/>
      <c r="AB507" s="411"/>
      <c r="AC507" s="411"/>
      <c r="AD507" s="411"/>
      <c r="AE507" s="411"/>
      <c r="AF507" s="411"/>
      <c r="AG507" s="411"/>
    </row>
    <row r="508" ht="14.25" customHeight="1">
      <c r="O508" s="411"/>
      <c r="P508" s="411"/>
      <c r="Q508" s="411"/>
      <c r="R508" s="411"/>
      <c r="S508" s="411"/>
      <c r="T508" s="411"/>
      <c r="U508" s="411"/>
      <c r="V508" s="411"/>
      <c r="W508" s="411"/>
      <c r="X508" s="411"/>
      <c r="Y508" s="411"/>
      <c r="Z508" s="411"/>
      <c r="AA508" s="411"/>
      <c r="AB508" s="411"/>
      <c r="AC508" s="411"/>
      <c r="AD508" s="411"/>
      <c r="AE508" s="411"/>
      <c r="AF508" s="411"/>
      <c r="AG508" s="411"/>
    </row>
    <row r="509" ht="14.25" customHeight="1">
      <c r="O509" s="411"/>
      <c r="P509" s="411"/>
      <c r="Q509" s="411"/>
      <c r="R509" s="411"/>
      <c r="S509" s="411"/>
      <c r="T509" s="411"/>
      <c r="U509" s="411"/>
      <c r="V509" s="411"/>
      <c r="W509" s="411"/>
      <c r="X509" s="411"/>
      <c r="Y509" s="411"/>
      <c r="Z509" s="411"/>
      <c r="AA509" s="411"/>
      <c r="AB509" s="411"/>
      <c r="AC509" s="411"/>
      <c r="AD509" s="411"/>
      <c r="AE509" s="411"/>
      <c r="AF509" s="411"/>
      <c r="AG509" s="411"/>
    </row>
    <row r="510" ht="14.25" customHeight="1">
      <c r="O510" s="411"/>
      <c r="P510" s="411"/>
      <c r="Q510" s="411"/>
      <c r="R510" s="411"/>
      <c r="S510" s="411"/>
      <c r="T510" s="411"/>
      <c r="U510" s="411"/>
      <c r="V510" s="411"/>
      <c r="W510" s="411"/>
      <c r="X510" s="411"/>
      <c r="Y510" s="411"/>
      <c r="Z510" s="411"/>
      <c r="AA510" s="411"/>
      <c r="AB510" s="411"/>
      <c r="AC510" s="411"/>
      <c r="AD510" s="411"/>
      <c r="AE510" s="411"/>
      <c r="AF510" s="411"/>
      <c r="AG510" s="411"/>
    </row>
    <row r="511" ht="14.25" customHeight="1">
      <c r="O511" s="411"/>
      <c r="P511" s="411"/>
      <c r="Q511" s="411"/>
      <c r="R511" s="411"/>
      <c r="S511" s="411"/>
      <c r="T511" s="411"/>
      <c r="U511" s="411"/>
      <c r="V511" s="411"/>
      <c r="W511" s="411"/>
      <c r="X511" s="411"/>
      <c r="Y511" s="411"/>
      <c r="Z511" s="411"/>
      <c r="AA511" s="411"/>
      <c r="AB511" s="411"/>
      <c r="AC511" s="411"/>
      <c r="AD511" s="411"/>
      <c r="AE511" s="411"/>
      <c r="AF511" s="411"/>
      <c r="AG511" s="411"/>
    </row>
    <row r="512" ht="14.25" customHeight="1">
      <c r="O512" s="411"/>
      <c r="P512" s="411"/>
      <c r="Q512" s="411"/>
      <c r="R512" s="411"/>
      <c r="S512" s="411"/>
      <c r="T512" s="411"/>
      <c r="U512" s="411"/>
      <c r="V512" s="411"/>
      <c r="W512" s="411"/>
      <c r="X512" s="411"/>
      <c r="Y512" s="411"/>
      <c r="Z512" s="411"/>
      <c r="AA512" s="411"/>
      <c r="AB512" s="411"/>
      <c r="AC512" s="411"/>
      <c r="AD512" s="411"/>
      <c r="AE512" s="411"/>
      <c r="AF512" s="411"/>
      <c r="AG512" s="411"/>
    </row>
    <row r="513" ht="14.25" customHeight="1">
      <c r="O513" s="411"/>
      <c r="P513" s="411"/>
      <c r="Q513" s="411"/>
      <c r="R513" s="411"/>
      <c r="S513" s="411"/>
      <c r="T513" s="411"/>
      <c r="U513" s="411"/>
      <c r="V513" s="411"/>
      <c r="W513" s="411"/>
      <c r="X513" s="411"/>
      <c r="Y513" s="411"/>
      <c r="Z513" s="411"/>
      <c r="AA513" s="411"/>
      <c r="AB513" s="411"/>
      <c r="AC513" s="411"/>
      <c r="AD513" s="411"/>
      <c r="AE513" s="411"/>
      <c r="AF513" s="411"/>
      <c r="AG513" s="411"/>
    </row>
    <row r="514" ht="14.25" customHeight="1">
      <c r="O514" s="411"/>
      <c r="P514" s="411"/>
      <c r="Q514" s="411"/>
      <c r="R514" s="411"/>
      <c r="S514" s="411"/>
      <c r="T514" s="411"/>
      <c r="U514" s="411"/>
      <c r="V514" s="411"/>
      <c r="W514" s="411"/>
      <c r="X514" s="411"/>
      <c r="Y514" s="411"/>
      <c r="Z514" s="411"/>
      <c r="AA514" s="411"/>
      <c r="AB514" s="411"/>
      <c r="AC514" s="411"/>
      <c r="AD514" s="411"/>
      <c r="AE514" s="411"/>
      <c r="AF514" s="411"/>
      <c r="AG514" s="411"/>
    </row>
    <row r="515" ht="14.25" customHeight="1">
      <c r="O515" s="411"/>
      <c r="P515" s="411"/>
      <c r="Q515" s="411"/>
      <c r="R515" s="411"/>
      <c r="S515" s="411"/>
      <c r="T515" s="411"/>
      <c r="U515" s="411"/>
      <c r="V515" s="411"/>
      <c r="W515" s="411"/>
      <c r="X515" s="411"/>
      <c r="Y515" s="411"/>
      <c r="Z515" s="411"/>
      <c r="AA515" s="411"/>
      <c r="AB515" s="411"/>
      <c r="AC515" s="411"/>
      <c r="AD515" s="411"/>
      <c r="AE515" s="411"/>
      <c r="AF515" s="411"/>
      <c r="AG515" s="411"/>
    </row>
    <row r="516" ht="14.25" customHeight="1">
      <c r="O516" s="411"/>
      <c r="P516" s="411"/>
      <c r="Q516" s="411"/>
      <c r="R516" s="411"/>
      <c r="S516" s="411"/>
      <c r="T516" s="411"/>
      <c r="U516" s="411"/>
      <c r="V516" s="411"/>
      <c r="W516" s="411"/>
      <c r="X516" s="411"/>
      <c r="Y516" s="411"/>
      <c r="Z516" s="411"/>
      <c r="AA516" s="411"/>
      <c r="AB516" s="411"/>
      <c r="AC516" s="411"/>
      <c r="AD516" s="411"/>
      <c r="AE516" s="411"/>
      <c r="AF516" s="411"/>
      <c r="AG516" s="411"/>
    </row>
    <row r="517" ht="14.25" customHeight="1">
      <c r="O517" s="411"/>
      <c r="P517" s="411"/>
      <c r="Q517" s="411"/>
      <c r="R517" s="411"/>
      <c r="S517" s="411"/>
      <c r="T517" s="411"/>
      <c r="U517" s="411"/>
      <c r="V517" s="411"/>
      <c r="W517" s="411"/>
      <c r="X517" s="411"/>
      <c r="Y517" s="411"/>
      <c r="Z517" s="411"/>
      <c r="AA517" s="411"/>
      <c r="AB517" s="411"/>
      <c r="AC517" s="411"/>
      <c r="AD517" s="411"/>
      <c r="AE517" s="411"/>
      <c r="AF517" s="411"/>
      <c r="AG517" s="411"/>
    </row>
    <row r="518" ht="14.25" customHeight="1">
      <c r="O518" s="411"/>
      <c r="P518" s="411"/>
      <c r="Q518" s="411"/>
      <c r="R518" s="411"/>
      <c r="S518" s="411"/>
      <c r="T518" s="411"/>
      <c r="U518" s="411"/>
      <c r="V518" s="411"/>
      <c r="W518" s="411"/>
      <c r="X518" s="411"/>
      <c r="Y518" s="411"/>
      <c r="Z518" s="411"/>
      <c r="AA518" s="411"/>
      <c r="AB518" s="411"/>
      <c r="AC518" s="411"/>
      <c r="AD518" s="411"/>
      <c r="AE518" s="411"/>
      <c r="AF518" s="411"/>
      <c r="AG518" s="411"/>
    </row>
    <row r="519" ht="14.25" customHeight="1">
      <c r="O519" s="411"/>
      <c r="P519" s="411"/>
      <c r="Q519" s="411"/>
      <c r="R519" s="411"/>
      <c r="S519" s="411"/>
      <c r="T519" s="411"/>
      <c r="U519" s="411"/>
      <c r="V519" s="411"/>
      <c r="W519" s="411"/>
      <c r="X519" s="411"/>
      <c r="Y519" s="411"/>
      <c r="Z519" s="411"/>
      <c r="AA519" s="411"/>
      <c r="AB519" s="411"/>
      <c r="AC519" s="411"/>
      <c r="AD519" s="411"/>
      <c r="AE519" s="411"/>
      <c r="AF519" s="411"/>
      <c r="AG519" s="411"/>
    </row>
    <row r="520" ht="14.25" customHeight="1">
      <c r="O520" s="411"/>
      <c r="P520" s="411"/>
      <c r="Q520" s="411"/>
      <c r="R520" s="411"/>
      <c r="S520" s="411"/>
      <c r="T520" s="411"/>
      <c r="U520" s="411"/>
      <c r="V520" s="411"/>
      <c r="W520" s="411"/>
      <c r="X520" s="411"/>
      <c r="Y520" s="411"/>
      <c r="Z520" s="411"/>
      <c r="AA520" s="411"/>
      <c r="AB520" s="411"/>
      <c r="AC520" s="411"/>
      <c r="AD520" s="411"/>
      <c r="AE520" s="411"/>
      <c r="AF520" s="411"/>
      <c r="AG520" s="411"/>
    </row>
    <row r="521" ht="14.25" customHeight="1">
      <c r="O521" s="411"/>
      <c r="P521" s="411"/>
      <c r="Q521" s="411"/>
      <c r="R521" s="411"/>
      <c r="S521" s="411"/>
      <c r="T521" s="411"/>
      <c r="U521" s="411"/>
      <c r="V521" s="411"/>
      <c r="W521" s="411"/>
      <c r="X521" s="411"/>
      <c r="Y521" s="411"/>
      <c r="Z521" s="411"/>
      <c r="AA521" s="411"/>
      <c r="AB521" s="411"/>
      <c r="AC521" s="411"/>
      <c r="AD521" s="411"/>
      <c r="AE521" s="411"/>
      <c r="AF521" s="411"/>
      <c r="AG521" s="411"/>
    </row>
    <row r="522" ht="14.25" customHeight="1">
      <c r="O522" s="411"/>
      <c r="P522" s="411"/>
      <c r="Q522" s="411"/>
      <c r="R522" s="411"/>
      <c r="S522" s="411"/>
      <c r="T522" s="411"/>
      <c r="U522" s="411"/>
      <c r="V522" s="411"/>
      <c r="W522" s="411"/>
      <c r="X522" s="411"/>
      <c r="Y522" s="411"/>
      <c r="Z522" s="411"/>
      <c r="AA522" s="411"/>
      <c r="AB522" s="411"/>
      <c r="AC522" s="411"/>
      <c r="AD522" s="411"/>
      <c r="AE522" s="411"/>
      <c r="AF522" s="411"/>
      <c r="AG522" s="411"/>
    </row>
    <row r="523" ht="14.25" customHeight="1">
      <c r="O523" s="411"/>
      <c r="P523" s="411"/>
      <c r="Q523" s="411"/>
      <c r="R523" s="411"/>
      <c r="S523" s="411"/>
      <c r="T523" s="411"/>
      <c r="U523" s="411"/>
      <c r="V523" s="411"/>
      <c r="W523" s="411"/>
      <c r="X523" s="411"/>
      <c r="Y523" s="411"/>
      <c r="Z523" s="411"/>
      <c r="AA523" s="411"/>
      <c r="AB523" s="411"/>
      <c r="AC523" s="411"/>
      <c r="AD523" s="411"/>
      <c r="AE523" s="411"/>
      <c r="AF523" s="411"/>
      <c r="AG523" s="411"/>
    </row>
    <row r="524" ht="14.25" customHeight="1">
      <c r="O524" s="411"/>
      <c r="P524" s="411"/>
      <c r="Q524" s="411"/>
      <c r="R524" s="411"/>
      <c r="S524" s="411"/>
      <c r="T524" s="411"/>
      <c r="U524" s="411"/>
      <c r="V524" s="411"/>
      <c r="W524" s="411"/>
      <c r="X524" s="411"/>
      <c r="Y524" s="411"/>
      <c r="Z524" s="411"/>
      <c r="AA524" s="411"/>
      <c r="AB524" s="411"/>
      <c r="AC524" s="411"/>
      <c r="AD524" s="411"/>
      <c r="AE524" s="411"/>
      <c r="AF524" s="411"/>
      <c r="AG524" s="411"/>
    </row>
    <row r="525" ht="14.25" customHeight="1">
      <c r="O525" s="411"/>
      <c r="P525" s="411"/>
      <c r="Q525" s="411"/>
      <c r="R525" s="411"/>
      <c r="S525" s="411"/>
      <c r="T525" s="411"/>
      <c r="U525" s="411"/>
      <c r="V525" s="411"/>
      <c r="W525" s="411"/>
      <c r="X525" s="411"/>
      <c r="Y525" s="411"/>
      <c r="Z525" s="411"/>
      <c r="AA525" s="411"/>
      <c r="AB525" s="411"/>
      <c r="AC525" s="411"/>
      <c r="AD525" s="411"/>
      <c r="AE525" s="411"/>
      <c r="AF525" s="411"/>
      <c r="AG525" s="411"/>
    </row>
    <row r="526" ht="14.25" customHeight="1">
      <c r="O526" s="411"/>
      <c r="P526" s="411"/>
      <c r="Q526" s="411"/>
      <c r="R526" s="411"/>
      <c r="S526" s="411"/>
      <c r="T526" s="411"/>
      <c r="U526" s="411"/>
      <c r="V526" s="411"/>
      <c r="W526" s="411"/>
      <c r="X526" s="411"/>
      <c r="Y526" s="411"/>
      <c r="Z526" s="411"/>
      <c r="AA526" s="411"/>
      <c r="AB526" s="411"/>
      <c r="AC526" s="411"/>
      <c r="AD526" s="411"/>
      <c r="AE526" s="411"/>
      <c r="AF526" s="411"/>
      <c r="AG526" s="411"/>
    </row>
    <row r="527" ht="14.25" customHeight="1">
      <c r="O527" s="411"/>
      <c r="P527" s="411"/>
      <c r="Q527" s="411"/>
      <c r="R527" s="411"/>
      <c r="S527" s="411"/>
      <c r="T527" s="411"/>
      <c r="U527" s="411"/>
      <c r="V527" s="411"/>
      <c r="W527" s="411"/>
      <c r="X527" s="411"/>
      <c r="Y527" s="411"/>
      <c r="Z527" s="411"/>
      <c r="AA527" s="411"/>
      <c r="AB527" s="411"/>
      <c r="AC527" s="411"/>
      <c r="AD527" s="411"/>
      <c r="AE527" s="411"/>
      <c r="AF527" s="411"/>
      <c r="AG527" s="411"/>
    </row>
    <row r="528" ht="14.25" customHeight="1">
      <c r="O528" s="411"/>
      <c r="P528" s="411"/>
      <c r="Q528" s="411"/>
      <c r="R528" s="411"/>
      <c r="S528" s="411"/>
      <c r="T528" s="411"/>
      <c r="U528" s="411"/>
      <c r="V528" s="411"/>
      <c r="W528" s="411"/>
      <c r="X528" s="411"/>
      <c r="Y528" s="411"/>
      <c r="Z528" s="411"/>
      <c r="AA528" s="411"/>
      <c r="AB528" s="411"/>
      <c r="AC528" s="411"/>
      <c r="AD528" s="411"/>
      <c r="AE528" s="411"/>
      <c r="AF528" s="411"/>
      <c r="AG528" s="411"/>
    </row>
    <row r="529" ht="14.25" customHeight="1">
      <c r="O529" s="411"/>
      <c r="P529" s="411"/>
      <c r="Q529" s="411"/>
      <c r="R529" s="411"/>
      <c r="S529" s="411"/>
      <c r="T529" s="411"/>
      <c r="U529" s="411"/>
      <c r="V529" s="411"/>
      <c r="W529" s="411"/>
      <c r="X529" s="411"/>
      <c r="Y529" s="411"/>
      <c r="Z529" s="411"/>
      <c r="AA529" s="411"/>
      <c r="AB529" s="411"/>
      <c r="AC529" s="411"/>
      <c r="AD529" s="411"/>
      <c r="AE529" s="411"/>
      <c r="AF529" s="411"/>
      <c r="AG529" s="411"/>
    </row>
    <row r="530" ht="14.25" customHeight="1">
      <c r="O530" s="411"/>
      <c r="P530" s="411"/>
      <c r="Q530" s="411"/>
      <c r="R530" s="411"/>
      <c r="S530" s="411"/>
      <c r="T530" s="411"/>
      <c r="U530" s="411"/>
      <c r="V530" s="411"/>
      <c r="W530" s="411"/>
      <c r="X530" s="411"/>
      <c r="Y530" s="411"/>
      <c r="Z530" s="411"/>
      <c r="AA530" s="411"/>
      <c r="AB530" s="411"/>
      <c r="AC530" s="411"/>
      <c r="AD530" s="411"/>
      <c r="AE530" s="411"/>
      <c r="AF530" s="411"/>
      <c r="AG530" s="411"/>
    </row>
    <row r="531" ht="14.25" customHeight="1">
      <c r="O531" s="411"/>
      <c r="P531" s="411"/>
      <c r="Q531" s="411"/>
      <c r="R531" s="411"/>
      <c r="S531" s="411"/>
      <c r="T531" s="411"/>
      <c r="U531" s="411"/>
      <c r="V531" s="411"/>
      <c r="W531" s="411"/>
      <c r="X531" s="411"/>
      <c r="Y531" s="411"/>
      <c r="Z531" s="411"/>
      <c r="AA531" s="411"/>
      <c r="AB531" s="411"/>
      <c r="AC531" s="411"/>
      <c r="AD531" s="411"/>
      <c r="AE531" s="411"/>
      <c r="AF531" s="411"/>
      <c r="AG531" s="411"/>
    </row>
    <row r="532" ht="14.25" customHeight="1">
      <c r="O532" s="411"/>
      <c r="P532" s="411"/>
      <c r="Q532" s="411"/>
      <c r="R532" s="411"/>
      <c r="S532" s="411"/>
      <c r="T532" s="411"/>
      <c r="U532" s="411"/>
      <c r="V532" s="411"/>
      <c r="W532" s="411"/>
      <c r="X532" s="411"/>
      <c r="Y532" s="411"/>
      <c r="Z532" s="411"/>
      <c r="AA532" s="411"/>
      <c r="AB532" s="411"/>
      <c r="AC532" s="411"/>
      <c r="AD532" s="411"/>
      <c r="AE532" s="411"/>
      <c r="AF532" s="411"/>
      <c r="AG532" s="411"/>
    </row>
    <row r="533" ht="14.25" customHeight="1">
      <c r="O533" s="411"/>
      <c r="P533" s="411"/>
      <c r="Q533" s="411"/>
      <c r="R533" s="411"/>
      <c r="S533" s="411"/>
      <c r="T533" s="411"/>
      <c r="U533" s="411"/>
      <c r="V533" s="411"/>
      <c r="W533" s="411"/>
      <c r="X533" s="411"/>
      <c r="Y533" s="411"/>
      <c r="Z533" s="411"/>
      <c r="AA533" s="411"/>
      <c r="AB533" s="411"/>
      <c r="AC533" s="411"/>
      <c r="AD533" s="411"/>
      <c r="AE533" s="411"/>
      <c r="AF533" s="411"/>
      <c r="AG533" s="411"/>
    </row>
    <row r="534" ht="14.25" customHeight="1">
      <c r="O534" s="411"/>
      <c r="P534" s="411"/>
      <c r="Q534" s="411"/>
      <c r="R534" s="411"/>
      <c r="S534" s="411"/>
      <c r="T534" s="411"/>
      <c r="U534" s="411"/>
      <c r="V534" s="411"/>
      <c r="W534" s="411"/>
      <c r="X534" s="411"/>
      <c r="Y534" s="411"/>
      <c r="Z534" s="411"/>
      <c r="AA534" s="411"/>
      <c r="AB534" s="411"/>
      <c r="AC534" s="411"/>
      <c r="AD534" s="411"/>
      <c r="AE534" s="411"/>
      <c r="AF534" s="411"/>
      <c r="AG534" s="411"/>
    </row>
    <row r="535" ht="14.25" customHeight="1">
      <c r="O535" s="411"/>
      <c r="P535" s="411"/>
      <c r="Q535" s="411"/>
      <c r="R535" s="411"/>
      <c r="S535" s="411"/>
      <c r="T535" s="411"/>
      <c r="U535" s="411"/>
      <c r="V535" s="411"/>
      <c r="W535" s="411"/>
      <c r="X535" s="411"/>
      <c r="Y535" s="411"/>
      <c r="Z535" s="411"/>
      <c r="AA535" s="411"/>
      <c r="AB535" s="411"/>
      <c r="AC535" s="411"/>
      <c r="AD535" s="411"/>
      <c r="AE535" s="411"/>
      <c r="AF535" s="411"/>
      <c r="AG535" s="411"/>
    </row>
    <row r="536" ht="14.25" customHeight="1">
      <c r="O536" s="411"/>
      <c r="P536" s="411"/>
      <c r="Q536" s="411"/>
      <c r="R536" s="411"/>
      <c r="S536" s="411"/>
      <c r="T536" s="411"/>
      <c r="U536" s="411"/>
      <c r="V536" s="411"/>
      <c r="W536" s="411"/>
      <c r="X536" s="411"/>
      <c r="Y536" s="411"/>
      <c r="Z536" s="411"/>
      <c r="AA536" s="411"/>
      <c r="AB536" s="411"/>
      <c r="AC536" s="411"/>
      <c r="AD536" s="411"/>
      <c r="AE536" s="411"/>
      <c r="AF536" s="411"/>
      <c r="AG536" s="411"/>
    </row>
    <row r="537" ht="14.25" customHeight="1">
      <c r="O537" s="411"/>
      <c r="P537" s="411"/>
      <c r="Q537" s="411"/>
      <c r="R537" s="411"/>
      <c r="S537" s="411"/>
      <c r="T537" s="411"/>
      <c r="U537" s="411"/>
      <c r="V537" s="411"/>
      <c r="W537" s="411"/>
      <c r="X537" s="411"/>
      <c r="Y537" s="411"/>
      <c r="Z537" s="411"/>
      <c r="AA537" s="411"/>
      <c r="AB537" s="411"/>
      <c r="AC537" s="411"/>
      <c r="AD537" s="411"/>
      <c r="AE537" s="411"/>
      <c r="AF537" s="411"/>
      <c r="AG537" s="411"/>
    </row>
    <row r="538" ht="14.25" customHeight="1">
      <c r="O538" s="411"/>
      <c r="P538" s="411"/>
      <c r="Q538" s="411"/>
      <c r="R538" s="411"/>
      <c r="S538" s="411"/>
      <c r="T538" s="411"/>
      <c r="U538" s="411"/>
      <c r="V538" s="411"/>
      <c r="W538" s="411"/>
      <c r="X538" s="411"/>
      <c r="Y538" s="411"/>
      <c r="Z538" s="411"/>
      <c r="AA538" s="411"/>
      <c r="AB538" s="411"/>
      <c r="AC538" s="411"/>
      <c r="AD538" s="411"/>
      <c r="AE538" s="411"/>
      <c r="AF538" s="411"/>
      <c r="AG538" s="411"/>
    </row>
    <row r="539" ht="14.25" customHeight="1">
      <c r="O539" s="411"/>
      <c r="P539" s="411"/>
      <c r="Q539" s="411"/>
      <c r="R539" s="411"/>
      <c r="S539" s="411"/>
      <c r="T539" s="411"/>
      <c r="U539" s="411"/>
      <c r="V539" s="411"/>
      <c r="W539" s="411"/>
      <c r="X539" s="411"/>
      <c r="Y539" s="411"/>
      <c r="Z539" s="411"/>
      <c r="AA539" s="411"/>
      <c r="AB539" s="411"/>
      <c r="AC539" s="411"/>
      <c r="AD539" s="411"/>
      <c r="AE539" s="411"/>
      <c r="AF539" s="411"/>
      <c r="AG539" s="411"/>
    </row>
    <row r="540" ht="14.25" customHeight="1">
      <c r="O540" s="411"/>
      <c r="P540" s="411"/>
      <c r="Q540" s="411"/>
      <c r="R540" s="411"/>
      <c r="S540" s="411"/>
      <c r="T540" s="411"/>
      <c r="U540" s="411"/>
      <c r="V540" s="411"/>
      <c r="W540" s="411"/>
      <c r="X540" s="411"/>
      <c r="Y540" s="411"/>
      <c r="Z540" s="411"/>
      <c r="AA540" s="411"/>
      <c r="AB540" s="411"/>
      <c r="AC540" s="411"/>
      <c r="AD540" s="411"/>
      <c r="AE540" s="411"/>
      <c r="AF540" s="411"/>
      <c r="AG540" s="411"/>
    </row>
    <row r="541" ht="14.25" customHeight="1">
      <c r="O541" s="411"/>
      <c r="P541" s="411"/>
      <c r="Q541" s="411"/>
      <c r="R541" s="411"/>
      <c r="S541" s="411"/>
      <c r="T541" s="411"/>
      <c r="U541" s="411"/>
      <c r="V541" s="411"/>
      <c r="W541" s="411"/>
      <c r="X541" s="411"/>
      <c r="Y541" s="411"/>
      <c r="Z541" s="411"/>
      <c r="AA541" s="411"/>
      <c r="AB541" s="411"/>
      <c r="AC541" s="411"/>
      <c r="AD541" s="411"/>
      <c r="AE541" s="411"/>
      <c r="AF541" s="411"/>
      <c r="AG541" s="411"/>
    </row>
    <row r="542" ht="14.25" customHeight="1">
      <c r="O542" s="411"/>
      <c r="P542" s="411"/>
      <c r="Q542" s="411"/>
      <c r="R542" s="411"/>
      <c r="S542" s="411"/>
      <c r="T542" s="411"/>
      <c r="U542" s="411"/>
      <c r="V542" s="411"/>
      <c r="W542" s="411"/>
      <c r="X542" s="411"/>
      <c r="Y542" s="411"/>
      <c r="Z542" s="411"/>
      <c r="AA542" s="411"/>
      <c r="AB542" s="411"/>
      <c r="AC542" s="411"/>
      <c r="AD542" s="411"/>
      <c r="AE542" s="411"/>
      <c r="AF542" s="411"/>
      <c r="AG542" s="411"/>
    </row>
    <row r="543" ht="14.25" customHeight="1">
      <c r="O543" s="411"/>
      <c r="P543" s="411"/>
      <c r="Q543" s="411"/>
      <c r="R543" s="411"/>
      <c r="S543" s="411"/>
      <c r="T543" s="411"/>
      <c r="U543" s="411"/>
      <c r="V543" s="411"/>
      <c r="W543" s="411"/>
      <c r="X543" s="411"/>
      <c r="Y543" s="411"/>
      <c r="Z543" s="411"/>
      <c r="AA543" s="411"/>
      <c r="AB543" s="411"/>
      <c r="AC543" s="411"/>
      <c r="AD543" s="411"/>
      <c r="AE543" s="411"/>
      <c r="AF543" s="411"/>
      <c r="AG543" s="411"/>
    </row>
    <row r="544" ht="14.25" customHeight="1">
      <c r="O544" s="411"/>
      <c r="P544" s="411"/>
      <c r="Q544" s="411"/>
      <c r="R544" s="411"/>
      <c r="S544" s="411"/>
      <c r="T544" s="411"/>
      <c r="U544" s="411"/>
      <c r="V544" s="411"/>
      <c r="W544" s="411"/>
      <c r="X544" s="411"/>
      <c r="Y544" s="411"/>
      <c r="Z544" s="411"/>
      <c r="AA544" s="411"/>
      <c r="AB544" s="411"/>
      <c r="AC544" s="411"/>
      <c r="AD544" s="411"/>
      <c r="AE544" s="411"/>
      <c r="AF544" s="411"/>
      <c r="AG544" s="411"/>
    </row>
    <row r="545" ht="14.25" customHeight="1">
      <c r="O545" s="411"/>
      <c r="P545" s="411"/>
      <c r="Q545" s="411"/>
      <c r="R545" s="411"/>
      <c r="S545" s="411"/>
      <c r="T545" s="411"/>
      <c r="U545" s="411"/>
      <c r="V545" s="411"/>
      <c r="W545" s="411"/>
      <c r="X545" s="411"/>
      <c r="Y545" s="411"/>
      <c r="Z545" s="411"/>
      <c r="AA545" s="411"/>
      <c r="AB545" s="411"/>
      <c r="AC545" s="411"/>
      <c r="AD545" s="411"/>
      <c r="AE545" s="411"/>
      <c r="AF545" s="411"/>
      <c r="AG545" s="411"/>
    </row>
    <row r="546" ht="14.25" customHeight="1">
      <c r="O546" s="411"/>
      <c r="P546" s="411"/>
      <c r="Q546" s="411"/>
      <c r="R546" s="411"/>
      <c r="S546" s="411"/>
      <c r="T546" s="411"/>
      <c r="U546" s="411"/>
      <c r="V546" s="411"/>
      <c r="W546" s="411"/>
      <c r="X546" s="411"/>
      <c r="Y546" s="411"/>
      <c r="Z546" s="411"/>
      <c r="AA546" s="411"/>
      <c r="AB546" s="411"/>
      <c r="AC546" s="411"/>
      <c r="AD546" s="411"/>
      <c r="AE546" s="411"/>
      <c r="AF546" s="411"/>
      <c r="AG546" s="411"/>
    </row>
    <row r="547" ht="14.25" customHeight="1">
      <c r="O547" s="411"/>
      <c r="P547" s="411"/>
      <c r="Q547" s="411"/>
      <c r="R547" s="411"/>
      <c r="S547" s="411"/>
      <c r="T547" s="411"/>
      <c r="U547" s="411"/>
      <c r="V547" s="411"/>
      <c r="W547" s="411"/>
      <c r="X547" s="411"/>
      <c r="Y547" s="411"/>
      <c r="Z547" s="411"/>
      <c r="AA547" s="411"/>
      <c r="AB547" s="411"/>
      <c r="AC547" s="411"/>
      <c r="AD547" s="411"/>
      <c r="AE547" s="411"/>
      <c r="AF547" s="411"/>
      <c r="AG547" s="411"/>
    </row>
    <row r="548" ht="14.25" customHeight="1">
      <c r="O548" s="411"/>
      <c r="P548" s="411"/>
      <c r="Q548" s="411"/>
      <c r="R548" s="411"/>
      <c r="S548" s="411"/>
      <c r="T548" s="411"/>
      <c r="U548" s="411"/>
      <c r="V548" s="411"/>
      <c r="W548" s="411"/>
      <c r="X548" s="411"/>
      <c r="Y548" s="411"/>
      <c r="Z548" s="411"/>
      <c r="AA548" s="411"/>
      <c r="AB548" s="411"/>
      <c r="AC548" s="411"/>
      <c r="AD548" s="411"/>
      <c r="AE548" s="411"/>
      <c r="AF548" s="411"/>
      <c r="AG548" s="411"/>
    </row>
    <row r="549" ht="14.25" customHeight="1">
      <c r="O549" s="411"/>
      <c r="P549" s="411"/>
      <c r="Q549" s="411"/>
      <c r="R549" s="411"/>
      <c r="S549" s="411"/>
      <c r="T549" s="411"/>
      <c r="U549" s="411"/>
      <c r="V549" s="411"/>
      <c r="W549" s="411"/>
      <c r="X549" s="411"/>
      <c r="Y549" s="411"/>
      <c r="Z549" s="411"/>
      <c r="AA549" s="411"/>
      <c r="AB549" s="411"/>
      <c r="AC549" s="411"/>
      <c r="AD549" s="411"/>
      <c r="AE549" s="411"/>
      <c r="AF549" s="411"/>
      <c r="AG549" s="411"/>
    </row>
    <row r="550" ht="14.25" customHeight="1">
      <c r="O550" s="411"/>
      <c r="P550" s="411"/>
      <c r="Q550" s="411"/>
      <c r="R550" s="411"/>
      <c r="S550" s="411"/>
      <c r="T550" s="411"/>
      <c r="U550" s="411"/>
      <c r="V550" s="411"/>
      <c r="W550" s="411"/>
      <c r="X550" s="411"/>
      <c r="Y550" s="411"/>
      <c r="Z550" s="411"/>
      <c r="AA550" s="411"/>
      <c r="AB550" s="411"/>
      <c r="AC550" s="411"/>
      <c r="AD550" s="411"/>
      <c r="AE550" s="411"/>
      <c r="AF550" s="411"/>
      <c r="AG550" s="411"/>
    </row>
    <row r="551" ht="14.25" customHeight="1">
      <c r="O551" s="411"/>
      <c r="P551" s="411"/>
      <c r="Q551" s="411"/>
      <c r="R551" s="411"/>
      <c r="S551" s="411"/>
      <c r="T551" s="411"/>
      <c r="U551" s="411"/>
      <c r="V551" s="411"/>
      <c r="W551" s="411"/>
      <c r="X551" s="411"/>
      <c r="Y551" s="411"/>
      <c r="Z551" s="411"/>
      <c r="AA551" s="411"/>
      <c r="AB551" s="411"/>
      <c r="AC551" s="411"/>
      <c r="AD551" s="411"/>
      <c r="AE551" s="411"/>
      <c r="AF551" s="411"/>
      <c r="AG551" s="411"/>
    </row>
    <row r="552" ht="14.25" customHeight="1">
      <c r="O552" s="411"/>
      <c r="P552" s="411"/>
      <c r="Q552" s="411"/>
      <c r="R552" s="411"/>
      <c r="S552" s="411"/>
      <c r="T552" s="411"/>
      <c r="U552" s="411"/>
      <c r="V552" s="411"/>
      <c r="W552" s="411"/>
      <c r="X552" s="411"/>
      <c r="Y552" s="411"/>
      <c r="Z552" s="411"/>
      <c r="AA552" s="411"/>
      <c r="AB552" s="411"/>
      <c r="AC552" s="411"/>
      <c r="AD552" s="411"/>
      <c r="AE552" s="411"/>
      <c r="AF552" s="411"/>
      <c r="AG552" s="411"/>
    </row>
    <row r="553" ht="14.25" customHeight="1">
      <c r="O553" s="411"/>
      <c r="P553" s="411"/>
      <c r="Q553" s="411"/>
      <c r="R553" s="411"/>
      <c r="S553" s="411"/>
      <c r="T553" s="411"/>
      <c r="U553" s="411"/>
      <c r="V553" s="411"/>
      <c r="W553" s="411"/>
      <c r="X553" s="411"/>
      <c r="Y553" s="411"/>
      <c r="Z553" s="411"/>
      <c r="AA553" s="411"/>
      <c r="AB553" s="411"/>
      <c r="AC553" s="411"/>
      <c r="AD553" s="411"/>
      <c r="AE553" s="411"/>
      <c r="AF553" s="411"/>
      <c r="AG553" s="411"/>
    </row>
    <row r="554" ht="14.25" customHeight="1">
      <c r="O554" s="411"/>
      <c r="P554" s="411"/>
      <c r="Q554" s="411"/>
      <c r="R554" s="411"/>
      <c r="S554" s="411"/>
      <c r="T554" s="411"/>
      <c r="U554" s="411"/>
      <c r="V554" s="411"/>
      <c r="W554" s="411"/>
      <c r="X554" s="411"/>
      <c r="Y554" s="411"/>
      <c r="Z554" s="411"/>
      <c r="AA554" s="411"/>
      <c r="AB554" s="411"/>
      <c r="AC554" s="411"/>
      <c r="AD554" s="411"/>
      <c r="AE554" s="411"/>
      <c r="AF554" s="411"/>
      <c r="AG554" s="411"/>
    </row>
    <row r="555" ht="14.25" customHeight="1">
      <c r="O555" s="411"/>
      <c r="P555" s="411"/>
      <c r="Q555" s="411"/>
      <c r="R555" s="411"/>
      <c r="S555" s="411"/>
      <c r="T555" s="411"/>
      <c r="U555" s="411"/>
      <c r="V555" s="411"/>
      <c r="W555" s="411"/>
      <c r="X555" s="411"/>
      <c r="Y555" s="411"/>
      <c r="Z555" s="411"/>
      <c r="AA555" s="411"/>
      <c r="AB555" s="411"/>
      <c r="AC555" s="411"/>
      <c r="AD555" s="411"/>
      <c r="AE555" s="411"/>
      <c r="AF555" s="411"/>
      <c r="AG555" s="411"/>
    </row>
    <row r="556" ht="14.25" customHeight="1">
      <c r="O556" s="411"/>
      <c r="P556" s="411"/>
      <c r="Q556" s="411"/>
      <c r="R556" s="411"/>
      <c r="S556" s="411"/>
      <c r="T556" s="411"/>
      <c r="U556" s="411"/>
      <c r="V556" s="411"/>
      <c r="W556" s="411"/>
      <c r="X556" s="411"/>
      <c r="Y556" s="411"/>
      <c r="Z556" s="411"/>
      <c r="AA556" s="411"/>
      <c r="AB556" s="411"/>
      <c r="AC556" s="411"/>
      <c r="AD556" s="411"/>
      <c r="AE556" s="411"/>
      <c r="AF556" s="411"/>
      <c r="AG556" s="411"/>
    </row>
    <row r="557" ht="14.25" customHeight="1">
      <c r="O557" s="411"/>
      <c r="P557" s="411"/>
      <c r="Q557" s="411"/>
      <c r="R557" s="411"/>
      <c r="S557" s="411"/>
      <c r="T557" s="411"/>
      <c r="U557" s="411"/>
      <c r="V557" s="411"/>
      <c r="W557" s="411"/>
      <c r="X557" s="411"/>
      <c r="Y557" s="411"/>
      <c r="Z557" s="411"/>
      <c r="AA557" s="411"/>
      <c r="AB557" s="411"/>
      <c r="AC557" s="411"/>
      <c r="AD557" s="411"/>
      <c r="AE557" s="411"/>
      <c r="AF557" s="411"/>
      <c r="AG557" s="411"/>
    </row>
    <row r="558" ht="14.25" customHeight="1">
      <c r="O558" s="411"/>
      <c r="P558" s="411"/>
      <c r="Q558" s="411"/>
      <c r="R558" s="411"/>
      <c r="S558" s="411"/>
      <c r="T558" s="411"/>
      <c r="U558" s="411"/>
      <c r="V558" s="411"/>
      <c r="W558" s="411"/>
      <c r="X558" s="411"/>
      <c r="Y558" s="411"/>
      <c r="Z558" s="411"/>
      <c r="AA558" s="411"/>
      <c r="AB558" s="411"/>
      <c r="AC558" s="411"/>
      <c r="AD558" s="411"/>
      <c r="AE558" s="411"/>
      <c r="AF558" s="411"/>
      <c r="AG558" s="411"/>
    </row>
    <row r="559" ht="14.25" customHeight="1">
      <c r="O559" s="411"/>
      <c r="P559" s="411"/>
      <c r="Q559" s="411"/>
      <c r="R559" s="411"/>
      <c r="S559" s="411"/>
      <c r="T559" s="411"/>
      <c r="U559" s="411"/>
      <c r="V559" s="411"/>
      <c r="W559" s="411"/>
      <c r="X559" s="411"/>
      <c r="Y559" s="411"/>
      <c r="Z559" s="411"/>
      <c r="AA559" s="411"/>
      <c r="AB559" s="411"/>
      <c r="AC559" s="411"/>
      <c r="AD559" s="411"/>
      <c r="AE559" s="411"/>
      <c r="AF559" s="411"/>
      <c r="AG559" s="411"/>
    </row>
    <row r="560" ht="14.25" customHeight="1">
      <c r="O560" s="411"/>
      <c r="P560" s="411"/>
      <c r="Q560" s="411"/>
      <c r="R560" s="411"/>
      <c r="S560" s="411"/>
      <c r="T560" s="411"/>
      <c r="U560" s="411"/>
      <c r="V560" s="411"/>
      <c r="W560" s="411"/>
      <c r="X560" s="411"/>
      <c r="Y560" s="411"/>
      <c r="Z560" s="411"/>
      <c r="AA560" s="411"/>
      <c r="AB560" s="411"/>
      <c r="AC560" s="411"/>
      <c r="AD560" s="411"/>
      <c r="AE560" s="411"/>
      <c r="AF560" s="411"/>
      <c r="AG560" s="411"/>
    </row>
    <row r="561" ht="14.25" customHeight="1">
      <c r="O561" s="411"/>
      <c r="P561" s="411"/>
      <c r="Q561" s="411"/>
      <c r="R561" s="411"/>
      <c r="S561" s="411"/>
      <c r="T561" s="411"/>
      <c r="U561" s="411"/>
      <c r="V561" s="411"/>
      <c r="W561" s="411"/>
      <c r="X561" s="411"/>
      <c r="Y561" s="411"/>
      <c r="Z561" s="411"/>
      <c r="AA561" s="411"/>
      <c r="AB561" s="411"/>
      <c r="AC561" s="411"/>
      <c r="AD561" s="411"/>
      <c r="AE561" s="411"/>
      <c r="AF561" s="411"/>
      <c r="AG561" s="411"/>
    </row>
    <row r="562" ht="14.25" customHeight="1">
      <c r="O562" s="411"/>
      <c r="P562" s="411"/>
      <c r="Q562" s="411"/>
      <c r="R562" s="411"/>
      <c r="S562" s="411"/>
      <c r="T562" s="411"/>
      <c r="U562" s="411"/>
      <c r="V562" s="411"/>
      <c r="W562" s="411"/>
      <c r="X562" s="411"/>
      <c r="Y562" s="411"/>
      <c r="Z562" s="411"/>
      <c r="AA562" s="411"/>
      <c r="AB562" s="411"/>
      <c r="AC562" s="411"/>
      <c r="AD562" s="411"/>
      <c r="AE562" s="411"/>
      <c r="AF562" s="411"/>
      <c r="AG562" s="411"/>
    </row>
    <row r="563" ht="14.25" customHeight="1">
      <c r="O563" s="411"/>
      <c r="P563" s="411"/>
      <c r="Q563" s="411"/>
      <c r="R563" s="411"/>
      <c r="S563" s="411"/>
      <c r="T563" s="411"/>
      <c r="U563" s="411"/>
      <c r="V563" s="411"/>
      <c r="W563" s="411"/>
      <c r="X563" s="411"/>
      <c r="Y563" s="411"/>
      <c r="Z563" s="411"/>
      <c r="AA563" s="411"/>
      <c r="AB563" s="411"/>
      <c r="AC563" s="411"/>
      <c r="AD563" s="411"/>
      <c r="AE563" s="411"/>
      <c r="AF563" s="411"/>
      <c r="AG563" s="411"/>
    </row>
    <row r="564" ht="14.25" customHeight="1">
      <c r="O564" s="411"/>
      <c r="P564" s="411"/>
      <c r="Q564" s="411"/>
      <c r="R564" s="411"/>
      <c r="S564" s="411"/>
      <c r="T564" s="411"/>
      <c r="U564" s="411"/>
      <c r="V564" s="411"/>
      <c r="W564" s="411"/>
      <c r="X564" s="411"/>
      <c r="Y564" s="411"/>
      <c r="Z564" s="411"/>
      <c r="AA564" s="411"/>
      <c r="AB564" s="411"/>
      <c r="AC564" s="411"/>
      <c r="AD564" s="411"/>
      <c r="AE564" s="411"/>
      <c r="AF564" s="411"/>
      <c r="AG564" s="411"/>
    </row>
    <row r="565" ht="14.25" customHeight="1">
      <c r="O565" s="411"/>
      <c r="P565" s="411"/>
      <c r="Q565" s="411"/>
      <c r="R565" s="411"/>
      <c r="S565" s="411"/>
      <c r="T565" s="411"/>
      <c r="U565" s="411"/>
      <c r="V565" s="411"/>
      <c r="W565" s="411"/>
      <c r="X565" s="411"/>
      <c r="Y565" s="411"/>
      <c r="Z565" s="411"/>
      <c r="AA565" s="411"/>
      <c r="AB565" s="411"/>
      <c r="AC565" s="411"/>
      <c r="AD565" s="411"/>
      <c r="AE565" s="411"/>
      <c r="AF565" s="411"/>
      <c r="AG565" s="411"/>
    </row>
    <row r="566" ht="14.25" customHeight="1">
      <c r="O566" s="411"/>
      <c r="P566" s="411"/>
      <c r="Q566" s="411"/>
      <c r="R566" s="411"/>
      <c r="S566" s="411"/>
      <c r="T566" s="411"/>
      <c r="U566" s="411"/>
      <c r="V566" s="411"/>
      <c r="W566" s="411"/>
      <c r="X566" s="411"/>
      <c r="Y566" s="411"/>
      <c r="Z566" s="411"/>
      <c r="AA566" s="411"/>
      <c r="AB566" s="411"/>
      <c r="AC566" s="411"/>
      <c r="AD566" s="411"/>
      <c r="AE566" s="411"/>
      <c r="AF566" s="411"/>
      <c r="AG566" s="411"/>
    </row>
    <row r="567" ht="14.25" customHeight="1">
      <c r="O567" s="411"/>
      <c r="P567" s="411"/>
      <c r="Q567" s="411"/>
      <c r="R567" s="411"/>
      <c r="S567" s="411"/>
      <c r="T567" s="411"/>
      <c r="U567" s="411"/>
      <c r="V567" s="411"/>
      <c r="W567" s="411"/>
      <c r="X567" s="411"/>
      <c r="Y567" s="411"/>
      <c r="Z567" s="411"/>
      <c r="AA567" s="411"/>
      <c r="AB567" s="411"/>
      <c r="AC567" s="411"/>
      <c r="AD567" s="411"/>
      <c r="AE567" s="411"/>
      <c r="AF567" s="411"/>
      <c r="AG567" s="411"/>
    </row>
    <row r="568" ht="14.25" customHeight="1">
      <c r="O568" s="411"/>
      <c r="P568" s="411"/>
      <c r="Q568" s="411"/>
      <c r="R568" s="411"/>
      <c r="S568" s="411"/>
      <c r="T568" s="411"/>
      <c r="U568" s="411"/>
      <c r="V568" s="411"/>
      <c r="W568" s="411"/>
      <c r="X568" s="411"/>
      <c r="Y568" s="411"/>
      <c r="Z568" s="411"/>
      <c r="AA568" s="411"/>
      <c r="AB568" s="411"/>
      <c r="AC568" s="411"/>
      <c r="AD568" s="411"/>
      <c r="AE568" s="411"/>
      <c r="AF568" s="411"/>
      <c r="AG568" s="411"/>
    </row>
    <row r="569" ht="14.25" customHeight="1">
      <c r="O569" s="411"/>
      <c r="P569" s="411"/>
      <c r="Q569" s="411"/>
      <c r="R569" s="411"/>
      <c r="S569" s="411"/>
      <c r="T569" s="411"/>
      <c r="U569" s="411"/>
      <c r="V569" s="411"/>
      <c r="W569" s="411"/>
      <c r="X569" s="411"/>
      <c r="Y569" s="411"/>
      <c r="Z569" s="411"/>
      <c r="AA569" s="411"/>
      <c r="AB569" s="411"/>
      <c r="AC569" s="411"/>
      <c r="AD569" s="411"/>
      <c r="AE569" s="411"/>
      <c r="AF569" s="411"/>
      <c r="AG569" s="411"/>
    </row>
    <row r="570" ht="14.25" customHeight="1">
      <c r="O570" s="411"/>
      <c r="P570" s="411"/>
      <c r="Q570" s="411"/>
      <c r="R570" s="411"/>
      <c r="S570" s="411"/>
      <c r="T570" s="411"/>
      <c r="U570" s="411"/>
      <c r="V570" s="411"/>
      <c r="W570" s="411"/>
      <c r="X570" s="411"/>
      <c r="Y570" s="411"/>
      <c r="Z570" s="411"/>
      <c r="AA570" s="411"/>
      <c r="AB570" s="411"/>
      <c r="AC570" s="411"/>
      <c r="AD570" s="411"/>
      <c r="AE570" s="411"/>
      <c r="AF570" s="411"/>
      <c r="AG570" s="411"/>
    </row>
    <row r="571" ht="14.25" customHeight="1">
      <c r="O571" s="411"/>
      <c r="P571" s="411"/>
      <c r="Q571" s="411"/>
      <c r="R571" s="411"/>
      <c r="S571" s="411"/>
      <c r="T571" s="411"/>
      <c r="U571" s="411"/>
      <c r="V571" s="411"/>
      <c r="W571" s="411"/>
      <c r="X571" s="411"/>
      <c r="Y571" s="411"/>
      <c r="Z571" s="411"/>
      <c r="AA571" s="411"/>
      <c r="AB571" s="411"/>
      <c r="AC571" s="411"/>
      <c r="AD571" s="411"/>
      <c r="AE571" s="411"/>
      <c r="AF571" s="411"/>
      <c r="AG571" s="411"/>
    </row>
    <row r="572" ht="14.25" customHeight="1">
      <c r="O572" s="411"/>
      <c r="P572" s="411"/>
      <c r="Q572" s="411"/>
      <c r="R572" s="411"/>
      <c r="S572" s="411"/>
      <c r="T572" s="411"/>
      <c r="U572" s="411"/>
      <c r="V572" s="411"/>
      <c r="W572" s="411"/>
      <c r="X572" s="411"/>
      <c r="Y572" s="411"/>
      <c r="Z572" s="411"/>
      <c r="AA572" s="411"/>
      <c r="AB572" s="411"/>
      <c r="AC572" s="411"/>
      <c r="AD572" s="411"/>
      <c r="AE572" s="411"/>
      <c r="AF572" s="411"/>
      <c r="AG572" s="411"/>
    </row>
    <row r="573" ht="14.25" customHeight="1">
      <c r="O573" s="411"/>
      <c r="P573" s="411"/>
      <c r="Q573" s="411"/>
      <c r="R573" s="411"/>
      <c r="S573" s="411"/>
      <c r="T573" s="411"/>
      <c r="U573" s="411"/>
      <c r="V573" s="411"/>
      <c r="W573" s="411"/>
      <c r="X573" s="411"/>
      <c r="Y573" s="411"/>
      <c r="Z573" s="411"/>
      <c r="AA573" s="411"/>
      <c r="AB573" s="411"/>
      <c r="AC573" s="411"/>
      <c r="AD573" s="411"/>
      <c r="AE573" s="411"/>
      <c r="AF573" s="411"/>
      <c r="AG573" s="411"/>
    </row>
    <row r="574" ht="14.25" customHeight="1">
      <c r="O574" s="411"/>
      <c r="P574" s="411"/>
      <c r="Q574" s="411"/>
      <c r="R574" s="411"/>
      <c r="S574" s="411"/>
      <c r="T574" s="411"/>
      <c r="U574" s="411"/>
      <c r="V574" s="411"/>
      <c r="W574" s="411"/>
      <c r="X574" s="411"/>
      <c r="Y574" s="411"/>
      <c r="Z574" s="411"/>
      <c r="AA574" s="411"/>
      <c r="AB574" s="411"/>
      <c r="AC574" s="411"/>
      <c r="AD574" s="411"/>
      <c r="AE574" s="411"/>
      <c r="AF574" s="411"/>
      <c r="AG574" s="411"/>
    </row>
    <row r="575" ht="14.25" customHeight="1">
      <c r="O575" s="411"/>
      <c r="P575" s="411"/>
      <c r="Q575" s="411"/>
      <c r="R575" s="411"/>
      <c r="S575" s="411"/>
      <c r="T575" s="411"/>
      <c r="U575" s="411"/>
      <c r="V575" s="411"/>
      <c r="W575" s="411"/>
      <c r="X575" s="411"/>
      <c r="Y575" s="411"/>
      <c r="Z575" s="411"/>
      <c r="AA575" s="411"/>
      <c r="AB575" s="411"/>
      <c r="AC575" s="411"/>
      <c r="AD575" s="411"/>
      <c r="AE575" s="411"/>
      <c r="AF575" s="411"/>
      <c r="AG575" s="411"/>
    </row>
    <row r="576" ht="14.25" customHeight="1">
      <c r="O576" s="411"/>
      <c r="P576" s="411"/>
      <c r="Q576" s="411"/>
      <c r="R576" s="411"/>
      <c r="S576" s="411"/>
      <c r="T576" s="411"/>
      <c r="U576" s="411"/>
      <c r="V576" s="411"/>
      <c r="W576" s="411"/>
      <c r="X576" s="411"/>
      <c r="Y576" s="411"/>
      <c r="Z576" s="411"/>
      <c r="AA576" s="411"/>
      <c r="AB576" s="411"/>
      <c r="AC576" s="411"/>
      <c r="AD576" s="411"/>
      <c r="AE576" s="411"/>
      <c r="AF576" s="411"/>
      <c r="AG576" s="411"/>
    </row>
    <row r="577" ht="14.25" customHeight="1">
      <c r="O577" s="411"/>
      <c r="P577" s="411"/>
      <c r="Q577" s="411"/>
      <c r="R577" s="411"/>
      <c r="S577" s="411"/>
      <c r="T577" s="411"/>
      <c r="U577" s="411"/>
      <c r="V577" s="411"/>
      <c r="W577" s="411"/>
      <c r="X577" s="411"/>
      <c r="Y577" s="411"/>
      <c r="Z577" s="411"/>
      <c r="AA577" s="411"/>
      <c r="AB577" s="411"/>
      <c r="AC577" s="411"/>
      <c r="AD577" s="411"/>
      <c r="AE577" s="411"/>
      <c r="AF577" s="411"/>
      <c r="AG577" s="411"/>
    </row>
    <row r="578" ht="14.25" customHeight="1">
      <c r="O578" s="411"/>
      <c r="P578" s="411"/>
      <c r="Q578" s="411"/>
      <c r="R578" s="411"/>
      <c r="S578" s="411"/>
      <c r="T578" s="411"/>
      <c r="U578" s="411"/>
      <c r="V578" s="411"/>
      <c r="W578" s="411"/>
      <c r="X578" s="411"/>
      <c r="Y578" s="411"/>
      <c r="Z578" s="411"/>
      <c r="AA578" s="411"/>
      <c r="AB578" s="411"/>
      <c r="AC578" s="411"/>
      <c r="AD578" s="411"/>
      <c r="AE578" s="411"/>
      <c r="AF578" s="411"/>
      <c r="AG578" s="411"/>
    </row>
    <row r="579" ht="14.25" customHeight="1">
      <c r="O579" s="411"/>
      <c r="P579" s="411"/>
      <c r="Q579" s="411"/>
      <c r="R579" s="411"/>
      <c r="S579" s="411"/>
      <c r="T579" s="411"/>
      <c r="U579" s="411"/>
      <c r="V579" s="411"/>
      <c r="W579" s="411"/>
      <c r="X579" s="411"/>
      <c r="Y579" s="411"/>
      <c r="Z579" s="411"/>
      <c r="AA579" s="411"/>
      <c r="AB579" s="411"/>
      <c r="AC579" s="411"/>
      <c r="AD579" s="411"/>
      <c r="AE579" s="411"/>
      <c r="AF579" s="411"/>
      <c r="AG579" s="411"/>
    </row>
    <row r="580" ht="14.25" customHeight="1">
      <c r="O580" s="411"/>
      <c r="P580" s="411"/>
      <c r="Q580" s="411"/>
      <c r="R580" s="411"/>
      <c r="S580" s="411"/>
      <c r="T580" s="411"/>
      <c r="U580" s="411"/>
      <c r="V580" s="411"/>
      <c r="W580" s="411"/>
      <c r="X580" s="411"/>
      <c r="Y580" s="411"/>
      <c r="Z580" s="411"/>
      <c r="AA580" s="411"/>
      <c r="AB580" s="411"/>
      <c r="AC580" s="411"/>
      <c r="AD580" s="411"/>
      <c r="AE580" s="411"/>
      <c r="AF580" s="411"/>
      <c r="AG580" s="411"/>
    </row>
    <row r="581" ht="14.25" customHeight="1">
      <c r="O581" s="411"/>
      <c r="P581" s="411"/>
      <c r="Q581" s="411"/>
      <c r="R581" s="411"/>
      <c r="S581" s="411"/>
      <c r="T581" s="411"/>
      <c r="U581" s="411"/>
      <c r="V581" s="411"/>
      <c r="W581" s="411"/>
      <c r="X581" s="411"/>
      <c r="Y581" s="411"/>
      <c r="Z581" s="411"/>
      <c r="AA581" s="411"/>
      <c r="AB581" s="411"/>
      <c r="AC581" s="411"/>
      <c r="AD581" s="411"/>
      <c r="AE581" s="411"/>
      <c r="AF581" s="411"/>
      <c r="AG581" s="411"/>
    </row>
    <row r="582" ht="14.25" customHeight="1">
      <c r="O582" s="411"/>
      <c r="P582" s="411"/>
      <c r="Q582" s="411"/>
      <c r="R582" s="411"/>
      <c r="S582" s="411"/>
      <c r="T582" s="411"/>
      <c r="U582" s="411"/>
      <c r="V582" s="411"/>
      <c r="W582" s="411"/>
      <c r="X582" s="411"/>
      <c r="Y582" s="411"/>
      <c r="Z582" s="411"/>
      <c r="AA582" s="411"/>
      <c r="AB582" s="411"/>
      <c r="AC582" s="411"/>
      <c r="AD582" s="411"/>
      <c r="AE582" s="411"/>
      <c r="AF582" s="411"/>
      <c r="AG582" s="411"/>
    </row>
    <row r="583" ht="14.25" customHeight="1">
      <c r="O583" s="411"/>
      <c r="P583" s="411"/>
      <c r="Q583" s="411"/>
      <c r="R583" s="411"/>
      <c r="S583" s="411"/>
      <c r="T583" s="411"/>
      <c r="U583" s="411"/>
      <c r="V583" s="411"/>
      <c r="W583" s="411"/>
      <c r="X583" s="411"/>
      <c r="Y583" s="411"/>
      <c r="Z583" s="411"/>
      <c r="AA583" s="411"/>
      <c r="AB583" s="411"/>
      <c r="AC583" s="411"/>
      <c r="AD583" s="411"/>
      <c r="AE583" s="411"/>
      <c r="AF583" s="411"/>
      <c r="AG583" s="411"/>
    </row>
    <row r="584" ht="14.25" customHeight="1">
      <c r="O584" s="411"/>
      <c r="P584" s="411"/>
      <c r="Q584" s="411"/>
      <c r="R584" s="411"/>
      <c r="S584" s="411"/>
      <c r="T584" s="411"/>
      <c r="U584" s="411"/>
      <c r="V584" s="411"/>
      <c r="W584" s="411"/>
      <c r="X584" s="411"/>
      <c r="Y584" s="411"/>
      <c r="Z584" s="411"/>
      <c r="AA584" s="411"/>
      <c r="AB584" s="411"/>
      <c r="AC584" s="411"/>
      <c r="AD584" s="411"/>
      <c r="AE584" s="411"/>
      <c r="AF584" s="411"/>
      <c r="AG584" s="411"/>
    </row>
    <row r="585" ht="14.25" customHeight="1">
      <c r="O585" s="411"/>
      <c r="P585" s="411"/>
      <c r="Q585" s="411"/>
      <c r="R585" s="411"/>
      <c r="S585" s="411"/>
      <c r="T585" s="411"/>
      <c r="U585" s="411"/>
      <c r="V585" s="411"/>
      <c r="W585" s="411"/>
      <c r="X585" s="411"/>
      <c r="Y585" s="411"/>
      <c r="Z585" s="411"/>
      <c r="AA585" s="411"/>
      <c r="AB585" s="411"/>
      <c r="AC585" s="411"/>
      <c r="AD585" s="411"/>
      <c r="AE585" s="411"/>
      <c r="AF585" s="411"/>
      <c r="AG585" s="411"/>
    </row>
    <row r="586" ht="14.25" customHeight="1">
      <c r="O586" s="411"/>
      <c r="P586" s="411"/>
      <c r="Q586" s="411"/>
      <c r="R586" s="411"/>
      <c r="S586" s="411"/>
      <c r="T586" s="411"/>
      <c r="U586" s="411"/>
      <c r="V586" s="411"/>
      <c r="W586" s="411"/>
      <c r="X586" s="411"/>
      <c r="Y586" s="411"/>
      <c r="Z586" s="411"/>
      <c r="AA586" s="411"/>
      <c r="AB586" s="411"/>
      <c r="AC586" s="411"/>
      <c r="AD586" s="411"/>
      <c r="AE586" s="411"/>
      <c r="AF586" s="411"/>
      <c r="AG586" s="411"/>
    </row>
    <row r="587" ht="14.25" customHeight="1">
      <c r="O587" s="411"/>
      <c r="P587" s="411"/>
      <c r="Q587" s="411"/>
      <c r="R587" s="411"/>
      <c r="S587" s="411"/>
      <c r="T587" s="411"/>
      <c r="U587" s="411"/>
      <c r="V587" s="411"/>
      <c r="W587" s="411"/>
      <c r="X587" s="411"/>
      <c r="Y587" s="411"/>
      <c r="Z587" s="411"/>
      <c r="AA587" s="411"/>
      <c r="AB587" s="411"/>
      <c r="AC587" s="411"/>
      <c r="AD587" s="411"/>
      <c r="AE587" s="411"/>
      <c r="AF587" s="411"/>
      <c r="AG587" s="411"/>
    </row>
    <row r="588" ht="14.25" customHeight="1">
      <c r="O588" s="411"/>
      <c r="P588" s="411"/>
      <c r="Q588" s="411"/>
      <c r="R588" s="411"/>
      <c r="S588" s="411"/>
      <c r="T588" s="411"/>
      <c r="U588" s="411"/>
      <c r="V588" s="411"/>
      <c r="W588" s="411"/>
      <c r="X588" s="411"/>
      <c r="Y588" s="411"/>
      <c r="Z588" s="411"/>
      <c r="AA588" s="411"/>
      <c r="AB588" s="411"/>
      <c r="AC588" s="411"/>
      <c r="AD588" s="411"/>
      <c r="AE588" s="411"/>
      <c r="AF588" s="411"/>
      <c r="AG588" s="411"/>
    </row>
    <row r="589" ht="14.25" customHeight="1">
      <c r="O589" s="411"/>
      <c r="P589" s="411"/>
      <c r="Q589" s="411"/>
      <c r="R589" s="411"/>
      <c r="S589" s="411"/>
      <c r="T589" s="411"/>
      <c r="U589" s="411"/>
      <c r="V589" s="411"/>
      <c r="W589" s="411"/>
      <c r="X589" s="411"/>
      <c r="Y589" s="411"/>
      <c r="Z589" s="411"/>
      <c r="AA589" s="411"/>
      <c r="AB589" s="411"/>
      <c r="AC589" s="411"/>
      <c r="AD589" s="411"/>
      <c r="AE589" s="411"/>
      <c r="AF589" s="411"/>
      <c r="AG589" s="411"/>
    </row>
    <row r="590" ht="14.25" customHeight="1">
      <c r="O590" s="411"/>
      <c r="P590" s="411"/>
      <c r="Q590" s="411"/>
      <c r="R590" s="411"/>
      <c r="S590" s="411"/>
      <c r="T590" s="411"/>
      <c r="U590" s="411"/>
      <c r="V590" s="411"/>
      <c r="W590" s="411"/>
      <c r="X590" s="411"/>
      <c r="Y590" s="411"/>
      <c r="Z590" s="411"/>
      <c r="AA590" s="411"/>
      <c r="AB590" s="411"/>
      <c r="AC590" s="411"/>
      <c r="AD590" s="411"/>
      <c r="AE590" s="411"/>
      <c r="AF590" s="411"/>
      <c r="AG590" s="411"/>
    </row>
    <row r="591" ht="14.25" customHeight="1">
      <c r="O591" s="411"/>
      <c r="P591" s="411"/>
      <c r="Q591" s="411"/>
      <c r="R591" s="411"/>
      <c r="S591" s="411"/>
      <c r="T591" s="411"/>
      <c r="U591" s="411"/>
      <c r="V591" s="411"/>
      <c r="W591" s="411"/>
      <c r="X591" s="411"/>
      <c r="Y591" s="411"/>
      <c r="Z591" s="411"/>
      <c r="AA591" s="411"/>
      <c r="AB591" s="411"/>
      <c r="AC591" s="411"/>
      <c r="AD591" s="411"/>
      <c r="AE591" s="411"/>
      <c r="AF591" s="411"/>
      <c r="AG591" s="411"/>
    </row>
    <row r="592" ht="14.25" customHeight="1">
      <c r="O592" s="411"/>
      <c r="P592" s="411"/>
      <c r="Q592" s="411"/>
      <c r="R592" s="411"/>
      <c r="S592" s="411"/>
      <c r="T592" s="411"/>
      <c r="U592" s="411"/>
      <c r="V592" s="411"/>
      <c r="W592" s="411"/>
      <c r="X592" s="411"/>
      <c r="Y592" s="411"/>
      <c r="Z592" s="411"/>
      <c r="AA592" s="411"/>
      <c r="AB592" s="411"/>
      <c r="AC592" s="411"/>
      <c r="AD592" s="411"/>
      <c r="AE592" s="411"/>
      <c r="AF592" s="411"/>
      <c r="AG592" s="411"/>
    </row>
    <row r="593" ht="14.25" customHeight="1">
      <c r="O593" s="411"/>
      <c r="P593" s="411"/>
      <c r="Q593" s="411"/>
      <c r="R593" s="411"/>
      <c r="S593" s="411"/>
      <c r="T593" s="411"/>
      <c r="U593" s="411"/>
      <c r="V593" s="411"/>
      <c r="W593" s="411"/>
      <c r="X593" s="411"/>
      <c r="Y593" s="411"/>
      <c r="Z593" s="411"/>
      <c r="AA593" s="411"/>
      <c r="AB593" s="411"/>
      <c r="AC593" s="411"/>
      <c r="AD593" s="411"/>
      <c r="AE593" s="411"/>
      <c r="AF593" s="411"/>
      <c r="AG593" s="411"/>
    </row>
    <row r="594" ht="14.25" customHeight="1">
      <c r="O594" s="411"/>
      <c r="P594" s="411"/>
      <c r="Q594" s="411"/>
      <c r="R594" s="411"/>
      <c r="S594" s="411"/>
      <c r="T594" s="411"/>
      <c r="U594" s="411"/>
      <c r="V594" s="411"/>
      <c r="W594" s="411"/>
      <c r="X594" s="411"/>
      <c r="Y594" s="411"/>
      <c r="Z594" s="411"/>
      <c r="AA594" s="411"/>
      <c r="AB594" s="411"/>
      <c r="AC594" s="411"/>
      <c r="AD594" s="411"/>
      <c r="AE594" s="411"/>
      <c r="AF594" s="411"/>
      <c r="AG594" s="411"/>
    </row>
    <row r="595" ht="14.25" customHeight="1">
      <c r="O595" s="411"/>
      <c r="P595" s="411"/>
      <c r="Q595" s="411"/>
      <c r="R595" s="411"/>
      <c r="S595" s="411"/>
      <c r="T595" s="411"/>
      <c r="U595" s="411"/>
      <c r="V595" s="411"/>
      <c r="W595" s="411"/>
      <c r="X595" s="411"/>
      <c r="Y595" s="411"/>
      <c r="Z595" s="411"/>
      <c r="AA595" s="411"/>
      <c r="AB595" s="411"/>
      <c r="AC595" s="411"/>
      <c r="AD595" s="411"/>
      <c r="AE595" s="411"/>
      <c r="AF595" s="411"/>
      <c r="AG595" s="411"/>
    </row>
    <row r="596" ht="14.25" customHeight="1">
      <c r="O596" s="411"/>
      <c r="P596" s="411"/>
      <c r="Q596" s="411"/>
      <c r="R596" s="411"/>
      <c r="S596" s="411"/>
      <c r="T596" s="411"/>
      <c r="U596" s="411"/>
      <c r="V596" s="411"/>
      <c r="W596" s="411"/>
      <c r="X596" s="411"/>
      <c r="Y596" s="411"/>
      <c r="Z596" s="411"/>
      <c r="AA596" s="411"/>
      <c r="AB596" s="411"/>
      <c r="AC596" s="411"/>
      <c r="AD596" s="411"/>
      <c r="AE596" s="411"/>
      <c r="AF596" s="411"/>
      <c r="AG596" s="411"/>
    </row>
    <row r="597" ht="14.25" customHeight="1">
      <c r="O597" s="411"/>
      <c r="P597" s="411"/>
      <c r="Q597" s="411"/>
      <c r="R597" s="411"/>
      <c r="S597" s="411"/>
      <c r="T597" s="411"/>
      <c r="U597" s="411"/>
      <c r="V597" s="411"/>
      <c r="W597" s="411"/>
      <c r="X597" s="411"/>
      <c r="Y597" s="411"/>
      <c r="Z597" s="411"/>
      <c r="AA597" s="411"/>
      <c r="AB597" s="411"/>
      <c r="AC597" s="411"/>
      <c r="AD597" s="411"/>
      <c r="AE597" s="411"/>
      <c r="AF597" s="411"/>
      <c r="AG597" s="411"/>
    </row>
    <row r="598" ht="14.25" customHeight="1">
      <c r="O598" s="411"/>
      <c r="P598" s="411"/>
      <c r="Q598" s="411"/>
      <c r="R598" s="411"/>
      <c r="S598" s="411"/>
      <c r="T598" s="411"/>
      <c r="U598" s="411"/>
      <c r="V598" s="411"/>
      <c r="W598" s="411"/>
      <c r="X598" s="411"/>
      <c r="Y598" s="411"/>
      <c r="Z598" s="411"/>
      <c r="AA598" s="411"/>
      <c r="AB598" s="411"/>
      <c r="AC598" s="411"/>
      <c r="AD598" s="411"/>
      <c r="AE598" s="411"/>
      <c r="AF598" s="411"/>
      <c r="AG598" s="411"/>
    </row>
    <row r="599" ht="14.25" customHeight="1">
      <c r="O599" s="411"/>
      <c r="P599" s="411"/>
      <c r="Q599" s="411"/>
      <c r="R599" s="411"/>
      <c r="S599" s="411"/>
      <c r="T599" s="411"/>
      <c r="U599" s="411"/>
      <c r="V599" s="411"/>
      <c r="W599" s="411"/>
      <c r="X599" s="411"/>
      <c r="Y599" s="411"/>
      <c r="Z599" s="411"/>
      <c r="AA599" s="411"/>
      <c r="AB599" s="411"/>
      <c r="AC599" s="411"/>
      <c r="AD599" s="411"/>
      <c r="AE599" s="411"/>
      <c r="AF599" s="411"/>
      <c r="AG599" s="411"/>
    </row>
    <row r="600" ht="14.25" customHeight="1">
      <c r="O600" s="411"/>
      <c r="P600" s="411"/>
      <c r="Q600" s="411"/>
      <c r="R600" s="411"/>
      <c r="S600" s="411"/>
      <c r="T600" s="411"/>
      <c r="U600" s="411"/>
      <c r="V600" s="411"/>
      <c r="W600" s="411"/>
      <c r="X600" s="411"/>
      <c r="Y600" s="411"/>
      <c r="Z600" s="411"/>
      <c r="AA600" s="411"/>
      <c r="AB600" s="411"/>
      <c r="AC600" s="411"/>
      <c r="AD600" s="411"/>
      <c r="AE600" s="411"/>
      <c r="AF600" s="411"/>
      <c r="AG600" s="411"/>
    </row>
    <row r="601" ht="14.25" customHeight="1">
      <c r="O601" s="411"/>
      <c r="P601" s="411"/>
      <c r="Q601" s="411"/>
      <c r="R601" s="411"/>
      <c r="S601" s="411"/>
      <c r="T601" s="411"/>
      <c r="U601" s="411"/>
      <c r="V601" s="411"/>
      <c r="W601" s="411"/>
      <c r="X601" s="411"/>
      <c r="Y601" s="411"/>
      <c r="Z601" s="411"/>
      <c r="AA601" s="411"/>
      <c r="AB601" s="411"/>
      <c r="AC601" s="411"/>
      <c r="AD601" s="411"/>
      <c r="AE601" s="411"/>
      <c r="AF601" s="411"/>
      <c r="AG601" s="411"/>
    </row>
    <row r="602" ht="14.25" customHeight="1">
      <c r="O602" s="411"/>
      <c r="P602" s="411"/>
      <c r="Q602" s="411"/>
      <c r="R602" s="411"/>
      <c r="S602" s="411"/>
      <c r="T602" s="411"/>
      <c r="U602" s="411"/>
      <c r="V602" s="411"/>
      <c r="W602" s="411"/>
      <c r="X602" s="411"/>
      <c r="Y602" s="411"/>
      <c r="Z602" s="411"/>
      <c r="AA602" s="411"/>
      <c r="AB602" s="411"/>
      <c r="AC602" s="411"/>
      <c r="AD602" s="411"/>
      <c r="AE602" s="411"/>
      <c r="AF602" s="411"/>
      <c r="AG602" s="411"/>
    </row>
    <row r="603" ht="14.25" customHeight="1">
      <c r="O603" s="411"/>
      <c r="P603" s="411"/>
      <c r="Q603" s="411"/>
      <c r="R603" s="411"/>
      <c r="S603" s="411"/>
      <c r="T603" s="411"/>
      <c r="U603" s="411"/>
      <c r="V603" s="411"/>
      <c r="W603" s="411"/>
      <c r="X603" s="411"/>
      <c r="Y603" s="411"/>
      <c r="Z603" s="411"/>
      <c r="AA603" s="411"/>
      <c r="AB603" s="411"/>
      <c r="AC603" s="411"/>
      <c r="AD603" s="411"/>
      <c r="AE603" s="411"/>
      <c r="AF603" s="411"/>
      <c r="AG603" s="411"/>
    </row>
    <row r="604" ht="14.25" customHeight="1">
      <c r="O604" s="411"/>
      <c r="P604" s="411"/>
      <c r="Q604" s="411"/>
      <c r="R604" s="411"/>
      <c r="S604" s="411"/>
      <c r="T604" s="411"/>
      <c r="U604" s="411"/>
      <c r="V604" s="411"/>
      <c r="W604" s="411"/>
      <c r="X604" s="411"/>
      <c r="Y604" s="411"/>
      <c r="Z604" s="411"/>
      <c r="AA604" s="411"/>
      <c r="AB604" s="411"/>
      <c r="AC604" s="411"/>
      <c r="AD604" s="411"/>
      <c r="AE604" s="411"/>
      <c r="AF604" s="411"/>
      <c r="AG604" s="411"/>
    </row>
    <row r="605" ht="14.25" customHeight="1">
      <c r="O605" s="411"/>
      <c r="P605" s="411"/>
      <c r="Q605" s="411"/>
      <c r="R605" s="411"/>
      <c r="S605" s="411"/>
      <c r="T605" s="411"/>
      <c r="U605" s="411"/>
      <c r="V605" s="411"/>
      <c r="W605" s="411"/>
      <c r="X605" s="411"/>
      <c r="Y605" s="411"/>
      <c r="Z605" s="411"/>
      <c r="AA605" s="411"/>
      <c r="AB605" s="411"/>
      <c r="AC605" s="411"/>
      <c r="AD605" s="411"/>
      <c r="AE605" s="411"/>
      <c r="AF605" s="411"/>
      <c r="AG605" s="411"/>
    </row>
    <row r="606" ht="14.25" customHeight="1">
      <c r="O606" s="411"/>
      <c r="P606" s="411"/>
      <c r="Q606" s="411"/>
      <c r="R606" s="411"/>
      <c r="S606" s="411"/>
      <c r="T606" s="411"/>
      <c r="U606" s="411"/>
      <c r="V606" s="411"/>
      <c r="W606" s="411"/>
      <c r="X606" s="411"/>
      <c r="Y606" s="411"/>
      <c r="Z606" s="411"/>
      <c r="AA606" s="411"/>
      <c r="AB606" s="411"/>
      <c r="AC606" s="411"/>
      <c r="AD606" s="411"/>
      <c r="AE606" s="411"/>
      <c r="AF606" s="411"/>
      <c r="AG606" s="411"/>
    </row>
    <row r="607" ht="14.25" customHeight="1">
      <c r="O607" s="411"/>
      <c r="P607" s="411"/>
      <c r="Q607" s="411"/>
      <c r="R607" s="411"/>
      <c r="S607" s="411"/>
      <c r="T607" s="411"/>
      <c r="U607" s="411"/>
      <c r="V607" s="411"/>
      <c r="W607" s="411"/>
      <c r="X607" s="411"/>
      <c r="Y607" s="411"/>
      <c r="Z607" s="411"/>
      <c r="AA607" s="411"/>
      <c r="AB607" s="411"/>
      <c r="AC607" s="411"/>
      <c r="AD607" s="411"/>
      <c r="AE607" s="411"/>
      <c r="AF607" s="411"/>
      <c r="AG607" s="411"/>
    </row>
    <row r="608" ht="14.25" customHeight="1">
      <c r="O608" s="411"/>
      <c r="P608" s="411"/>
      <c r="Q608" s="411"/>
      <c r="R608" s="411"/>
      <c r="S608" s="411"/>
      <c r="T608" s="411"/>
      <c r="U608" s="411"/>
      <c r="V608" s="411"/>
      <c r="W608" s="411"/>
      <c r="X608" s="411"/>
      <c r="Y608" s="411"/>
      <c r="Z608" s="411"/>
      <c r="AA608" s="411"/>
      <c r="AB608" s="411"/>
      <c r="AC608" s="411"/>
      <c r="AD608" s="411"/>
      <c r="AE608" s="411"/>
      <c r="AF608" s="411"/>
      <c r="AG608" s="411"/>
    </row>
    <row r="609" ht="14.25" customHeight="1">
      <c r="O609" s="411"/>
      <c r="P609" s="411"/>
      <c r="Q609" s="411"/>
      <c r="R609" s="411"/>
      <c r="S609" s="411"/>
      <c r="T609" s="411"/>
      <c r="U609" s="411"/>
      <c r="V609" s="411"/>
      <c r="W609" s="411"/>
      <c r="X609" s="411"/>
      <c r="Y609" s="411"/>
      <c r="Z609" s="411"/>
      <c r="AA609" s="411"/>
      <c r="AB609" s="411"/>
      <c r="AC609" s="411"/>
      <c r="AD609" s="411"/>
      <c r="AE609" s="411"/>
      <c r="AF609" s="411"/>
      <c r="AG609" s="411"/>
    </row>
    <row r="610" ht="14.25" customHeight="1">
      <c r="O610" s="411"/>
      <c r="P610" s="411"/>
      <c r="Q610" s="411"/>
      <c r="R610" s="411"/>
      <c r="S610" s="411"/>
      <c r="T610" s="411"/>
      <c r="U610" s="411"/>
      <c r="V610" s="411"/>
      <c r="W610" s="411"/>
      <c r="X610" s="411"/>
      <c r="Y610" s="411"/>
      <c r="Z610" s="411"/>
      <c r="AA610" s="411"/>
      <c r="AB610" s="411"/>
      <c r="AC610" s="411"/>
      <c r="AD610" s="411"/>
      <c r="AE610" s="411"/>
      <c r="AF610" s="411"/>
      <c r="AG610" s="411"/>
    </row>
    <row r="611" ht="14.25" customHeight="1">
      <c r="O611" s="411"/>
      <c r="P611" s="411"/>
      <c r="Q611" s="411"/>
      <c r="R611" s="411"/>
      <c r="S611" s="411"/>
      <c r="T611" s="411"/>
      <c r="U611" s="411"/>
      <c r="V611" s="411"/>
      <c r="W611" s="411"/>
      <c r="X611" s="411"/>
      <c r="Y611" s="411"/>
      <c r="Z611" s="411"/>
      <c r="AA611" s="411"/>
      <c r="AB611" s="411"/>
      <c r="AC611" s="411"/>
      <c r="AD611" s="411"/>
      <c r="AE611" s="411"/>
      <c r="AF611" s="411"/>
      <c r="AG611" s="411"/>
    </row>
    <row r="612" ht="14.25" customHeight="1">
      <c r="O612" s="411"/>
      <c r="P612" s="411"/>
      <c r="Q612" s="411"/>
      <c r="R612" s="411"/>
      <c r="S612" s="411"/>
      <c r="T612" s="411"/>
      <c r="U612" s="411"/>
      <c r="V612" s="411"/>
      <c r="W612" s="411"/>
      <c r="X612" s="411"/>
      <c r="Y612" s="411"/>
      <c r="Z612" s="411"/>
      <c r="AA612" s="411"/>
      <c r="AB612" s="411"/>
      <c r="AC612" s="411"/>
      <c r="AD612" s="411"/>
      <c r="AE612" s="411"/>
      <c r="AF612" s="411"/>
      <c r="AG612" s="411"/>
    </row>
    <row r="613" ht="14.25" customHeight="1">
      <c r="O613" s="411"/>
      <c r="P613" s="411"/>
      <c r="Q613" s="411"/>
      <c r="R613" s="411"/>
      <c r="S613" s="411"/>
      <c r="T613" s="411"/>
      <c r="U613" s="411"/>
      <c r="V613" s="411"/>
      <c r="W613" s="411"/>
      <c r="X613" s="411"/>
      <c r="Y613" s="411"/>
      <c r="Z613" s="411"/>
      <c r="AA613" s="411"/>
      <c r="AB613" s="411"/>
      <c r="AC613" s="411"/>
      <c r="AD613" s="411"/>
      <c r="AE613" s="411"/>
      <c r="AF613" s="411"/>
      <c r="AG613" s="411"/>
    </row>
    <row r="614" ht="14.25" customHeight="1">
      <c r="O614" s="411"/>
      <c r="P614" s="411"/>
      <c r="Q614" s="411"/>
      <c r="R614" s="411"/>
      <c r="S614" s="411"/>
      <c r="T614" s="411"/>
      <c r="U614" s="411"/>
      <c r="V614" s="411"/>
      <c r="W614" s="411"/>
      <c r="X614" s="411"/>
      <c r="Y614" s="411"/>
      <c r="Z614" s="411"/>
      <c r="AA614" s="411"/>
      <c r="AB614" s="411"/>
      <c r="AC614" s="411"/>
      <c r="AD614" s="411"/>
      <c r="AE614" s="411"/>
      <c r="AF614" s="411"/>
      <c r="AG614" s="411"/>
    </row>
    <row r="615" ht="14.25" customHeight="1">
      <c r="O615" s="411"/>
      <c r="P615" s="411"/>
      <c r="Q615" s="411"/>
      <c r="R615" s="411"/>
      <c r="S615" s="411"/>
      <c r="T615" s="411"/>
      <c r="U615" s="411"/>
      <c r="V615" s="411"/>
      <c r="W615" s="411"/>
      <c r="X615" s="411"/>
      <c r="Y615" s="411"/>
      <c r="Z615" s="411"/>
      <c r="AA615" s="411"/>
      <c r="AB615" s="411"/>
      <c r="AC615" s="411"/>
      <c r="AD615" s="411"/>
      <c r="AE615" s="411"/>
      <c r="AF615" s="411"/>
      <c r="AG615" s="411"/>
    </row>
    <row r="616" ht="14.25" customHeight="1">
      <c r="O616" s="411"/>
      <c r="P616" s="411"/>
      <c r="Q616" s="411"/>
      <c r="R616" s="411"/>
      <c r="S616" s="411"/>
      <c r="T616" s="411"/>
      <c r="U616" s="411"/>
      <c r="V616" s="411"/>
      <c r="W616" s="411"/>
      <c r="X616" s="411"/>
      <c r="Y616" s="411"/>
      <c r="Z616" s="411"/>
      <c r="AA616" s="411"/>
      <c r="AB616" s="411"/>
      <c r="AC616" s="411"/>
      <c r="AD616" s="411"/>
      <c r="AE616" s="411"/>
      <c r="AF616" s="411"/>
      <c r="AG616" s="411"/>
    </row>
    <row r="617" ht="14.25" customHeight="1">
      <c r="O617" s="411"/>
      <c r="P617" s="411"/>
      <c r="Q617" s="411"/>
      <c r="R617" s="411"/>
      <c r="S617" s="411"/>
      <c r="T617" s="411"/>
      <c r="U617" s="411"/>
      <c r="V617" s="411"/>
      <c r="W617" s="411"/>
      <c r="X617" s="411"/>
      <c r="Y617" s="411"/>
      <c r="Z617" s="411"/>
      <c r="AA617" s="411"/>
      <c r="AB617" s="411"/>
      <c r="AC617" s="411"/>
      <c r="AD617" s="411"/>
      <c r="AE617" s="411"/>
      <c r="AF617" s="411"/>
      <c r="AG617" s="411"/>
    </row>
    <row r="618" ht="14.25" customHeight="1">
      <c r="O618" s="411"/>
      <c r="P618" s="411"/>
      <c r="Q618" s="411"/>
      <c r="R618" s="411"/>
      <c r="S618" s="411"/>
      <c r="T618" s="411"/>
      <c r="U618" s="411"/>
      <c r="V618" s="411"/>
      <c r="W618" s="411"/>
      <c r="X618" s="411"/>
      <c r="Y618" s="411"/>
      <c r="Z618" s="411"/>
      <c r="AA618" s="411"/>
      <c r="AB618" s="411"/>
      <c r="AC618" s="411"/>
      <c r="AD618" s="411"/>
      <c r="AE618" s="411"/>
      <c r="AF618" s="411"/>
      <c r="AG618" s="411"/>
    </row>
    <row r="619" ht="14.25" customHeight="1">
      <c r="O619" s="411"/>
      <c r="P619" s="411"/>
      <c r="Q619" s="411"/>
      <c r="R619" s="411"/>
      <c r="S619" s="411"/>
      <c r="T619" s="411"/>
      <c r="U619" s="411"/>
      <c r="V619" s="411"/>
      <c r="W619" s="411"/>
      <c r="X619" s="411"/>
      <c r="Y619" s="411"/>
      <c r="Z619" s="411"/>
      <c r="AA619" s="411"/>
      <c r="AB619" s="411"/>
      <c r="AC619" s="411"/>
      <c r="AD619" s="411"/>
      <c r="AE619" s="411"/>
      <c r="AF619" s="411"/>
      <c r="AG619" s="411"/>
    </row>
    <row r="620" ht="14.25" customHeight="1">
      <c r="O620" s="411"/>
      <c r="P620" s="411"/>
      <c r="Q620" s="411"/>
      <c r="R620" s="411"/>
      <c r="S620" s="411"/>
      <c r="T620" s="411"/>
      <c r="U620" s="411"/>
      <c r="V620" s="411"/>
      <c r="W620" s="411"/>
      <c r="X620" s="411"/>
      <c r="Y620" s="411"/>
      <c r="Z620" s="411"/>
      <c r="AA620" s="411"/>
      <c r="AB620" s="411"/>
      <c r="AC620" s="411"/>
      <c r="AD620" s="411"/>
      <c r="AE620" s="411"/>
      <c r="AF620" s="411"/>
      <c r="AG620" s="411"/>
    </row>
    <row r="621" ht="14.25" customHeight="1">
      <c r="O621" s="411"/>
      <c r="P621" s="411"/>
      <c r="Q621" s="411"/>
      <c r="R621" s="411"/>
      <c r="S621" s="411"/>
      <c r="T621" s="411"/>
      <c r="U621" s="411"/>
      <c r="V621" s="411"/>
      <c r="W621" s="411"/>
      <c r="X621" s="411"/>
      <c r="Y621" s="411"/>
      <c r="Z621" s="411"/>
      <c r="AA621" s="411"/>
      <c r="AB621" s="411"/>
      <c r="AC621" s="411"/>
      <c r="AD621" s="411"/>
      <c r="AE621" s="411"/>
      <c r="AF621" s="411"/>
      <c r="AG621" s="411"/>
    </row>
    <row r="622" ht="14.25" customHeight="1">
      <c r="O622" s="411"/>
      <c r="P622" s="411"/>
      <c r="Q622" s="411"/>
      <c r="R622" s="411"/>
      <c r="S622" s="411"/>
      <c r="T622" s="411"/>
      <c r="U622" s="411"/>
      <c r="V622" s="411"/>
      <c r="W622" s="411"/>
      <c r="X622" s="411"/>
      <c r="Y622" s="411"/>
      <c r="Z622" s="411"/>
      <c r="AA622" s="411"/>
      <c r="AB622" s="411"/>
      <c r="AC622" s="411"/>
      <c r="AD622" s="411"/>
      <c r="AE622" s="411"/>
      <c r="AF622" s="411"/>
      <c r="AG622" s="411"/>
    </row>
    <row r="623" ht="14.25" customHeight="1">
      <c r="O623" s="411"/>
      <c r="P623" s="411"/>
      <c r="Q623" s="411"/>
      <c r="R623" s="411"/>
      <c r="S623" s="411"/>
      <c r="T623" s="411"/>
      <c r="U623" s="411"/>
      <c r="V623" s="411"/>
      <c r="W623" s="411"/>
      <c r="X623" s="411"/>
      <c r="Y623" s="411"/>
      <c r="Z623" s="411"/>
      <c r="AA623" s="411"/>
      <c r="AB623" s="411"/>
      <c r="AC623" s="411"/>
      <c r="AD623" s="411"/>
      <c r="AE623" s="411"/>
      <c r="AF623" s="411"/>
      <c r="AG623" s="411"/>
    </row>
    <row r="624" ht="14.25" customHeight="1">
      <c r="O624" s="411"/>
      <c r="P624" s="411"/>
      <c r="Q624" s="411"/>
      <c r="R624" s="411"/>
      <c r="S624" s="411"/>
      <c r="T624" s="411"/>
      <c r="U624" s="411"/>
      <c r="V624" s="411"/>
      <c r="W624" s="411"/>
      <c r="X624" s="411"/>
      <c r="Y624" s="411"/>
      <c r="Z624" s="411"/>
      <c r="AA624" s="411"/>
      <c r="AB624" s="411"/>
      <c r="AC624" s="411"/>
      <c r="AD624" s="411"/>
      <c r="AE624" s="411"/>
      <c r="AF624" s="411"/>
      <c r="AG624" s="411"/>
    </row>
    <row r="625" ht="14.25" customHeight="1">
      <c r="O625" s="411"/>
      <c r="P625" s="411"/>
      <c r="Q625" s="411"/>
      <c r="R625" s="411"/>
      <c r="S625" s="411"/>
      <c r="T625" s="411"/>
      <c r="U625" s="411"/>
      <c r="V625" s="411"/>
      <c r="W625" s="411"/>
      <c r="X625" s="411"/>
      <c r="Y625" s="411"/>
      <c r="Z625" s="411"/>
      <c r="AA625" s="411"/>
      <c r="AB625" s="411"/>
      <c r="AC625" s="411"/>
      <c r="AD625" s="411"/>
      <c r="AE625" s="411"/>
      <c r="AF625" s="411"/>
      <c r="AG625" s="411"/>
    </row>
    <row r="626" ht="14.25" customHeight="1">
      <c r="O626" s="411"/>
      <c r="P626" s="411"/>
      <c r="Q626" s="411"/>
      <c r="R626" s="411"/>
      <c r="S626" s="411"/>
      <c r="T626" s="411"/>
      <c r="U626" s="411"/>
      <c r="V626" s="411"/>
      <c r="W626" s="411"/>
      <c r="X626" s="411"/>
      <c r="Y626" s="411"/>
      <c r="Z626" s="411"/>
      <c r="AA626" s="411"/>
      <c r="AB626" s="411"/>
      <c r="AC626" s="411"/>
      <c r="AD626" s="411"/>
      <c r="AE626" s="411"/>
      <c r="AF626" s="411"/>
      <c r="AG626" s="411"/>
    </row>
    <row r="627" ht="14.25" customHeight="1">
      <c r="O627" s="411"/>
      <c r="P627" s="411"/>
      <c r="Q627" s="411"/>
      <c r="R627" s="411"/>
      <c r="S627" s="411"/>
      <c r="T627" s="411"/>
      <c r="U627" s="411"/>
      <c r="V627" s="411"/>
      <c r="W627" s="411"/>
      <c r="X627" s="411"/>
      <c r="Y627" s="411"/>
      <c r="Z627" s="411"/>
      <c r="AA627" s="411"/>
      <c r="AB627" s="411"/>
      <c r="AC627" s="411"/>
      <c r="AD627" s="411"/>
      <c r="AE627" s="411"/>
      <c r="AF627" s="411"/>
      <c r="AG627" s="411"/>
    </row>
    <row r="628" ht="14.25" customHeight="1">
      <c r="O628" s="411"/>
      <c r="P628" s="411"/>
      <c r="Q628" s="411"/>
      <c r="R628" s="411"/>
      <c r="S628" s="411"/>
      <c r="T628" s="411"/>
      <c r="U628" s="411"/>
      <c r="V628" s="411"/>
      <c r="W628" s="411"/>
      <c r="X628" s="411"/>
      <c r="Y628" s="411"/>
      <c r="Z628" s="411"/>
      <c r="AA628" s="411"/>
      <c r="AB628" s="411"/>
      <c r="AC628" s="411"/>
      <c r="AD628" s="411"/>
      <c r="AE628" s="411"/>
      <c r="AF628" s="411"/>
      <c r="AG628" s="411"/>
    </row>
    <row r="629" ht="14.25" customHeight="1">
      <c r="O629" s="411"/>
      <c r="P629" s="411"/>
      <c r="Q629" s="411"/>
      <c r="R629" s="411"/>
      <c r="S629" s="411"/>
      <c r="T629" s="411"/>
      <c r="U629" s="411"/>
      <c r="V629" s="411"/>
      <c r="W629" s="411"/>
      <c r="X629" s="411"/>
      <c r="Y629" s="411"/>
      <c r="Z629" s="411"/>
      <c r="AA629" s="411"/>
      <c r="AB629" s="411"/>
      <c r="AC629" s="411"/>
      <c r="AD629" s="411"/>
      <c r="AE629" s="411"/>
      <c r="AF629" s="411"/>
      <c r="AG629" s="411"/>
    </row>
    <row r="630" ht="14.25" customHeight="1">
      <c r="O630" s="411"/>
      <c r="P630" s="411"/>
      <c r="Q630" s="411"/>
      <c r="R630" s="411"/>
      <c r="S630" s="411"/>
      <c r="T630" s="411"/>
      <c r="U630" s="411"/>
      <c r="V630" s="411"/>
      <c r="W630" s="411"/>
      <c r="X630" s="411"/>
      <c r="Y630" s="411"/>
      <c r="Z630" s="411"/>
      <c r="AA630" s="411"/>
      <c r="AB630" s="411"/>
      <c r="AC630" s="411"/>
      <c r="AD630" s="411"/>
      <c r="AE630" s="411"/>
      <c r="AF630" s="411"/>
      <c r="AG630" s="411"/>
    </row>
    <row r="631" ht="14.25" customHeight="1">
      <c r="O631" s="411"/>
      <c r="P631" s="411"/>
      <c r="Q631" s="411"/>
      <c r="R631" s="411"/>
      <c r="S631" s="411"/>
      <c r="T631" s="411"/>
      <c r="U631" s="411"/>
      <c r="V631" s="411"/>
      <c r="W631" s="411"/>
      <c r="X631" s="411"/>
      <c r="Y631" s="411"/>
      <c r="Z631" s="411"/>
      <c r="AA631" s="411"/>
      <c r="AB631" s="411"/>
      <c r="AC631" s="411"/>
      <c r="AD631" s="411"/>
      <c r="AE631" s="411"/>
      <c r="AF631" s="411"/>
      <c r="AG631" s="411"/>
    </row>
    <row r="632" ht="14.25" customHeight="1">
      <c r="O632" s="411"/>
      <c r="P632" s="411"/>
      <c r="Q632" s="411"/>
      <c r="R632" s="411"/>
      <c r="S632" s="411"/>
      <c r="T632" s="411"/>
      <c r="U632" s="411"/>
      <c r="V632" s="411"/>
      <c r="W632" s="411"/>
      <c r="X632" s="411"/>
      <c r="Y632" s="411"/>
      <c r="Z632" s="411"/>
      <c r="AA632" s="411"/>
      <c r="AB632" s="411"/>
      <c r="AC632" s="411"/>
      <c r="AD632" s="411"/>
      <c r="AE632" s="411"/>
      <c r="AF632" s="411"/>
      <c r="AG632" s="411"/>
    </row>
    <row r="633" ht="14.25" customHeight="1">
      <c r="O633" s="411"/>
      <c r="P633" s="411"/>
      <c r="Q633" s="411"/>
      <c r="R633" s="411"/>
      <c r="S633" s="411"/>
      <c r="T633" s="411"/>
      <c r="U633" s="411"/>
      <c r="V633" s="411"/>
      <c r="W633" s="411"/>
      <c r="X633" s="411"/>
      <c r="Y633" s="411"/>
      <c r="Z633" s="411"/>
      <c r="AA633" s="411"/>
      <c r="AB633" s="411"/>
      <c r="AC633" s="411"/>
      <c r="AD633" s="411"/>
      <c r="AE633" s="411"/>
      <c r="AF633" s="411"/>
      <c r="AG633" s="411"/>
    </row>
    <row r="634" ht="14.25" customHeight="1">
      <c r="O634" s="411"/>
      <c r="P634" s="411"/>
      <c r="Q634" s="411"/>
      <c r="R634" s="411"/>
      <c r="S634" s="411"/>
      <c r="T634" s="411"/>
      <c r="U634" s="411"/>
      <c r="V634" s="411"/>
      <c r="W634" s="411"/>
      <c r="X634" s="411"/>
      <c r="Y634" s="411"/>
      <c r="Z634" s="411"/>
      <c r="AA634" s="411"/>
      <c r="AB634" s="411"/>
      <c r="AC634" s="411"/>
      <c r="AD634" s="411"/>
      <c r="AE634" s="411"/>
      <c r="AF634" s="411"/>
      <c r="AG634" s="411"/>
    </row>
    <row r="635" ht="14.25" customHeight="1">
      <c r="O635" s="411"/>
      <c r="P635" s="411"/>
      <c r="Q635" s="411"/>
      <c r="R635" s="411"/>
      <c r="S635" s="411"/>
      <c r="T635" s="411"/>
      <c r="U635" s="411"/>
      <c r="V635" s="411"/>
      <c r="W635" s="411"/>
      <c r="X635" s="411"/>
      <c r="Y635" s="411"/>
      <c r="Z635" s="411"/>
      <c r="AA635" s="411"/>
      <c r="AB635" s="411"/>
      <c r="AC635" s="411"/>
      <c r="AD635" s="411"/>
      <c r="AE635" s="411"/>
      <c r="AF635" s="411"/>
      <c r="AG635" s="411"/>
    </row>
    <row r="636" ht="14.25" customHeight="1">
      <c r="O636" s="411"/>
      <c r="P636" s="411"/>
      <c r="Q636" s="411"/>
      <c r="R636" s="411"/>
      <c r="S636" s="411"/>
      <c r="T636" s="411"/>
      <c r="U636" s="411"/>
      <c r="V636" s="411"/>
      <c r="W636" s="411"/>
      <c r="X636" s="411"/>
      <c r="Y636" s="411"/>
      <c r="Z636" s="411"/>
      <c r="AA636" s="411"/>
      <c r="AB636" s="411"/>
      <c r="AC636" s="411"/>
      <c r="AD636" s="411"/>
      <c r="AE636" s="411"/>
      <c r="AF636" s="411"/>
      <c r="AG636" s="411"/>
    </row>
    <row r="637" ht="14.25" customHeight="1">
      <c r="O637" s="411"/>
      <c r="P637" s="411"/>
      <c r="Q637" s="411"/>
      <c r="R637" s="411"/>
      <c r="S637" s="411"/>
      <c r="T637" s="411"/>
      <c r="U637" s="411"/>
      <c r="V637" s="411"/>
      <c r="W637" s="411"/>
      <c r="X637" s="411"/>
      <c r="Y637" s="411"/>
      <c r="Z637" s="411"/>
      <c r="AA637" s="411"/>
      <c r="AB637" s="411"/>
      <c r="AC637" s="411"/>
      <c r="AD637" s="411"/>
      <c r="AE637" s="411"/>
      <c r="AF637" s="411"/>
      <c r="AG637" s="411"/>
    </row>
    <row r="638" ht="14.25" customHeight="1">
      <c r="O638" s="411"/>
      <c r="P638" s="411"/>
      <c r="Q638" s="411"/>
      <c r="R638" s="411"/>
      <c r="S638" s="411"/>
      <c r="T638" s="411"/>
      <c r="U638" s="411"/>
      <c r="V638" s="411"/>
      <c r="W638" s="411"/>
      <c r="X638" s="411"/>
      <c r="Y638" s="411"/>
      <c r="Z638" s="411"/>
      <c r="AA638" s="411"/>
      <c r="AB638" s="411"/>
      <c r="AC638" s="411"/>
      <c r="AD638" s="411"/>
      <c r="AE638" s="411"/>
      <c r="AF638" s="411"/>
      <c r="AG638" s="411"/>
    </row>
    <row r="639" ht="14.25" customHeight="1">
      <c r="O639" s="411"/>
      <c r="P639" s="411"/>
      <c r="Q639" s="411"/>
      <c r="R639" s="411"/>
      <c r="S639" s="411"/>
      <c r="T639" s="411"/>
      <c r="U639" s="411"/>
      <c r="V639" s="411"/>
      <c r="W639" s="411"/>
      <c r="X639" s="411"/>
      <c r="Y639" s="411"/>
      <c r="Z639" s="411"/>
      <c r="AA639" s="411"/>
      <c r="AB639" s="411"/>
      <c r="AC639" s="411"/>
      <c r="AD639" s="411"/>
      <c r="AE639" s="411"/>
      <c r="AF639" s="411"/>
      <c r="AG639" s="411"/>
    </row>
    <row r="640" ht="14.25" customHeight="1">
      <c r="O640" s="411"/>
      <c r="P640" s="411"/>
      <c r="Q640" s="411"/>
      <c r="R640" s="411"/>
      <c r="S640" s="411"/>
      <c r="T640" s="411"/>
      <c r="U640" s="411"/>
      <c r="V640" s="411"/>
      <c r="W640" s="411"/>
      <c r="X640" s="411"/>
      <c r="Y640" s="411"/>
      <c r="Z640" s="411"/>
      <c r="AA640" s="411"/>
      <c r="AB640" s="411"/>
      <c r="AC640" s="411"/>
      <c r="AD640" s="411"/>
      <c r="AE640" s="411"/>
      <c r="AF640" s="411"/>
      <c r="AG640" s="411"/>
    </row>
    <row r="641" ht="14.25" customHeight="1">
      <c r="O641" s="411"/>
      <c r="P641" s="411"/>
      <c r="Q641" s="411"/>
      <c r="R641" s="411"/>
      <c r="S641" s="411"/>
      <c r="T641" s="411"/>
      <c r="U641" s="411"/>
      <c r="V641" s="411"/>
      <c r="W641" s="411"/>
      <c r="X641" s="411"/>
      <c r="Y641" s="411"/>
      <c r="Z641" s="411"/>
      <c r="AA641" s="411"/>
      <c r="AB641" s="411"/>
      <c r="AC641" s="411"/>
      <c r="AD641" s="411"/>
      <c r="AE641" s="411"/>
      <c r="AF641" s="411"/>
      <c r="AG641" s="411"/>
    </row>
    <row r="642" ht="14.25" customHeight="1">
      <c r="O642" s="411"/>
      <c r="P642" s="411"/>
      <c r="Q642" s="411"/>
      <c r="R642" s="411"/>
      <c r="S642" s="411"/>
      <c r="T642" s="411"/>
      <c r="U642" s="411"/>
      <c r="V642" s="411"/>
      <c r="W642" s="411"/>
      <c r="X642" s="411"/>
      <c r="Y642" s="411"/>
      <c r="Z642" s="411"/>
      <c r="AA642" s="411"/>
      <c r="AB642" s="411"/>
      <c r="AC642" s="411"/>
      <c r="AD642" s="411"/>
      <c r="AE642" s="411"/>
      <c r="AF642" s="411"/>
      <c r="AG642" s="411"/>
    </row>
    <row r="643" ht="14.25" customHeight="1">
      <c r="O643" s="411"/>
      <c r="P643" s="411"/>
      <c r="Q643" s="411"/>
      <c r="R643" s="411"/>
      <c r="S643" s="411"/>
      <c r="T643" s="411"/>
      <c r="U643" s="411"/>
      <c r="V643" s="411"/>
      <c r="W643" s="411"/>
      <c r="X643" s="411"/>
      <c r="Y643" s="411"/>
      <c r="Z643" s="411"/>
      <c r="AA643" s="411"/>
      <c r="AB643" s="411"/>
      <c r="AC643" s="411"/>
      <c r="AD643" s="411"/>
      <c r="AE643" s="411"/>
      <c r="AF643" s="411"/>
      <c r="AG643" s="411"/>
    </row>
    <row r="644" ht="14.25" customHeight="1">
      <c r="O644" s="411"/>
      <c r="P644" s="411"/>
      <c r="Q644" s="411"/>
      <c r="R644" s="411"/>
      <c r="S644" s="411"/>
      <c r="T644" s="411"/>
      <c r="U644" s="411"/>
      <c r="V644" s="411"/>
      <c r="W644" s="411"/>
      <c r="X644" s="411"/>
      <c r="Y644" s="411"/>
      <c r="Z644" s="411"/>
      <c r="AA644" s="411"/>
      <c r="AB644" s="411"/>
      <c r="AC644" s="411"/>
      <c r="AD644" s="411"/>
      <c r="AE644" s="411"/>
      <c r="AF644" s="411"/>
      <c r="AG644" s="411"/>
    </row>
    <row r="645" ht="14.25" customHeight="1">
      <c r="O645" s="411"/>
      <c r="P645" s="411"/>
      <c r="Q645" s="411"/>
      <c r="R645" s="411"/>
      <c r="S645" s="411"/>
      <c r="T645" s="411"/>
      <c r="U645" s="411"/>
      <c r="V645" s="411"/>
      <c r="W645" s="411"/>
      <c r="X645" s="411"/>
      <c r="Y645" s="411"/>
      <c r="Z645" s="411"/>
      <c r="AA645" s="411"/>
      <c r="AB645" s="411"/>
      <c r="AC645" s="411"/>
      <c r="AD645" s="411"/>
      <c r="AE645" s="411"/>
      <c r="AF645" s="411"/>
      <c r="AG645" s="411"/>
    </row>
    <row r="646" ht="14.25" customHeight="1">
      <c r="O646" s="411"/>
      <c r="P646" s="411"/>
      <c r="Q646" s="411"/>
      <c r="R646" s="411"/>
      <c r="S646" s="411"/>
      <c r="T646" s="411"/>
      <c r="U646" s="411"/>
      <c r="V646" s="411"/>
      <c r="W646" s="411"/>
      <c r="X646" s="411"/>
      <c r="Y646" s="411"/>
      <c r="Z646" s="411"/>
      <c r="AA646" s="411"/>
      <c r="AB646" s="411"/>
      <c r="AC646" s="411"/>
      <c r="AD646" s="411"/>
      <c r="AE646" s="411"/>
      <c r="AF646" s="411"/>
      <c r="AG646" s="411"/>
    </row>
    <row r="647" ht="14.25" customHeight="1">
      <c r="O647" s="411"/>
      <c r="P647" s="411"/>
      <c r="Q647" s="411"/>
      <c r="R647" s="411"/>
      <c r="S647" s="411"/>
      <c r="T647" s="411"/>
      <c r="U647" s="411"/>
      <c r="V647" s="411"/>
      <c r="W647" s="411"/>
      <c r="X647" s="411"/>
      <c r="Y647" s="411"/>
      <c r="Z647" s="411"/>
      <c r="AA647" s="411"/>
      <c r="AB647" s="411"/>
      <c r="AC647" s="411"/>
      <c r="AD647" s="411"/>
      <c r="AE647" s="411"/>
      <c r="AF647" s="411"/>
      <c r="AG647" s="411"/>
    </row>
    <row r="648" ht="14.25" customHeight="1">
      <c r="O648" s="411"/>
      <c r="P648" s="411"/>
      <c r="Q648" s="411"/>
      <c r="R648" s="411"/>
      <c r="S648" s="411"/>
      <c r="T648" s="411"/>
      <c r="U648" s="411"/>
      <c r="V648" s="411"/>
      <c r="W648" s="411"/>
      <c r="X648" s="411"/>
      <c r="Y648" s="411"/>
      <c r="Z648" s="411"/>
      <c r="AA648" s="411"/>
      <c r="AB648" s="411"/>
      <c r="AC648" s="411"/>
      <c r="AD648" s="411"/>
      <c r="AE648" s="411"/>
      <c r="AF648" s="411"/>
      <c r="AG648" s="411"/>
    </row>
    <row r="649" ht="14.25" customHeight="1">
      <c r="O649" s="411"/>
      <c r="P649" s="411"/>
      <c r="Q649" s="411"/>
      <c r="R649" s="411"/>
      <c r="S649" s="411"/>
      <c r="T649" s="411"/>
      <c r="U649" s="411"/>
      <c r="V649" s="411"/>
      <c r="W649" s="411"/>
      <c r="X649" s="411"/>
      <c r="Y649" s="411"/>
      <c r="Z649" s="411"/>
      <c r="AA649" s="411"/>
      <c r="AB649" s="411"/>
      <c r="AC649" s="411"/>
      <c r="AD649" s="411"/>
      <c r="AE649" s="411"/>
      <c r="AF649" s="411"/>
      <c r="AG649" s="411"/>
    </row>
    <row r="650" ht="14.25" customHeight="1">
      <c r="O650" s="411"/>
      <c r="P650" s="411"/>
      <c r="Q650" s="411"/>
      <c r="R650" s="411"/>
      <c r="S650" s="411"/>
      <c r="T650" s="411"/>
      <c r="U650" s="411"/>
      <c r="V650" s="411"/>
      <c r="W650" s="411"/>
      <c r="X650" s="411"/>
      <c r="Y650" s="411"/>
      <c r="Z650" s="411"/>
      <c r="AA650" s="411"/>
      <c r="AB650" s="411"/>
      <c r="AC650" s="411"/>
      <c r="AD650" s="411"/>
      <c r="AE650" s="411"/>
      <c r="AF650" s="411"/>
      <c r="AG650" s="411"/>
    </row>
    <row r="651" ht="14.25" customHeight="1">
      <c r="O651" s="411"/>
      <c r="P651" s="411"/>
      <c r="Q651" s="411"/>
      <c r="R651" s="411"/>
      <c r="S651" s="411"/>
      <c r="T651" s="411"/>
      <c r="U651" s="411"/>
      <c r="V651" s="411"/>
      <c r="W651" s="411"/>
      <c r="X651" s="411"/>
      <c r="Y651" s="411"/>
      <c r="Z651" s="411"/>
      <c r="AA651" s="411"/>
      <c r="AB651" s="411"/>
      <c r="AC651" s="411"/>
      <c r="AD651" s="411"/>
      <c r="AE651" s="411"/>
      <c r="AF651" s="411"/>
      <c r="AG651" s="411"/>
    </row>
    <row r="652" ht="14.25" customHeight="1">
      <c r="O652" s="411"/>
      <c r="P652" s="411"/>
      <c r="Q652" s="411"/>
      <c r="R652" s="411"/>
      <c r="S652" s="411"/>
      <c r="T652" s="411"/>
      <c r="U652" s="411"/>
      <c r="V652" s="411"/>
      <c r="W652" s="411"/>
      <c r="X652" s="411"/>
      <c r="Y652" s="411"/>
      <c r="Z652" s="411"/>
      <c r="AA652" s="411"/>
      <c r="AB652" s="411"/>
      <c r="AC652" s="411"/>
      <c r="AD652" s="411"/>
      <c r="AE652" s="411"/>
      <c r="AF652" s="411"/>
      <c r="AG652" s="411"/>
    </row>
    <row r="653" ht="14.25" customHeight="1">
      <c r="O653" s="411"/>
      <c r="P653" s="411"/>
      <c r="Q653" s="411"/>
      <c r="R653" s="411"/>
      <c r="S653" s="411"/>
      <c r="T653" s="411"/>
      <c r="U653" s="411"/>
      <c r="V653" s="411"/>
      <c r="W653" s="411"/>
      <c r="X653" s="411"/>
      <c r="Y653" s="411"/>
      <c r="Z653" s="411"/>
      <c r="AA653" s="411"/>
      <c r="AB653" s="411"/>
      <c r="AC653" s="411"/>
      <c r="AD653" s="411"/>
      <c r="AE653" s="411"/>
      <c r="AF653" s="411"/>
      <c r="AG653" s="411"/>
    </row>
    <row r="654" ht="14.25" customHeight="1">
      <c r="O654" s="411"/>
      <c r="P654" s="411"/>
      <c r="Q654" s="411"/>
      <c r="R654" s="411"/>
      <c r="S654" s="411"/>
      <c r="T654" s="411"/>
      <c r="U654" s="411"/>
      <c r="V654" s="411"/>
      <c r="W654" s="411"/>
      <c r="X654" s="411"/>
      <c r="Y654" s="411"/>
      <c r="Z654" s="411"/>
      <c r="AA654" s="411"/>
      <c r="AB654" s="411"/>
      <c r="AC654" s="411"/>
      <c r="AD654" s="411"/>
      <c r="AE654" s="411"/>
      <c r="AF654" s="411"/>
      <c r="AG654" s="411"/>
    </row>
    <row r="655" ht="14.25" customHeight="1">
      <c r="O655" s="411"/>
      <c r="P655" s="411"/>
      <c r="Q655" s="411"/>
      <c r="R655" s="411"/>
      <c r="S655" s="411"/>
      <c r="T655" s="411"/>
      <c r="U655" s="411"/>
      <c r="V655" s="411"/>
      <c r="W655" s="411"/>
      <c r="X655" s="411"/>
      <c r="Y655" s="411"/>
      <c r="Z655" s="411"/>
      <c r="AA655" s="411"/>
      <c r="AB655" s="411"/>
      <c r="AC655" s="411"/>
      <c r="AD655" s="411"/>
      <c r="AE655" s="411"/>
      <c r="AF655" s="411"/>
      <c r="AG655" s="411"/>
    </row>
    <row r="656" ht="14.25" customHeight="1">
      <c r="O656" s="411"/>
      <c r="P656" s="411"/>
      <c r="Q656" s="411"/>
      <c r="R656" s="411"/>
      <c r="S656" s="411"/>
      <c r="T656" s="411"/>
      <c r="U656" s="411"/>
      <c r="V656" s="411"/>
      <c r="W656" s="411"/>
      <c r="X656" s="411"/>
      <c r="Y656" s="411"/>
      <c r="Z656" s="411"/>
      <c r="AA656" s="411"/>
      <c r="AB656" s="411"/>
      <c r="AC656" s="411"/>
      <c r="AD656" s="411"/>
      <c r="AE656" s="411"/>
      <c r="AF656" s="411"/>
      <c r="AG656" s="411"/>
    </row>
    <row r="657" ht="14.25" customHeight="1">
      <c r="O657" s="411"/>
      <c r="P657" s="411"/>
      <c r="Q657" s="411"/>
      <c r="R657" s="411"/>
      <c r="S657" s="411"/>
      <c r="T657" s="411"/>
      <c r="U657" s="411"/>
      <c r="V657" s="411"/>
      <c r="W657" s="411"/>
      <c r="X657" s="411"/>
      <c r="Y657" s="411"/>
      <c r="Z657" s="411"/>
      <c r="AA657" s="411"/>
      <c r="AB657" s="411"/>
      <c r="AC657" s="411"/>
      <c r="AD657" s="411"/>
      <c r="AE657" s="411"/>
      <c r="AF657" s="411"/>
      <c r="AG657" s="411"/>
    </row>
    <row r="658" ht="14.25" customHeight="1">
      <c r="O658" s="411"/>
      <c r="P658" s="411"/>
      <c r="Q658" s="411"/>
      <c r="R658" s="411"/>
      <c r="S658" s="411"/>
      <c r="T658" s="411"/>
      <c r="U658" s="411"/>
      <c r="V658" s="411"/>
      <c r="W658" s="411"/>
      <c r="X658" s="411"/>
      <c r="Y658" s="411"/>
      <c r="Z658" s="411"/>
      <c r="AA658" s="411"/>
      <c r="AB658" s="411"/>
      <c r="AC658" s="411"/>
      <c r="AD658" s="411"/>
      <c r="AE658" s="411"/>
      <c r="AF658" s="411"/>
      <c r="AG658" s="411"/>
    </row>
    <row r="659" ht="14.25" customHeight="1">
      <c r="O659" s="411"/>
      <c r="P659" s="411"/>
      <c r="Q659" s="411"/>
      <c r="R659" s="411"/>
      <c r="S659" s="411"/>
      <c r="T659" s="411"/>
      <c r="U659" s="411"/>
      <c r="V659" s="411"/>
      <c r="W659" s="411"/>
      <c r="X659" s="411"/>
      <c r="Y659" s="411"/>
      <c r="Z659" s="411"/>
      <c r="AA659" s="411"/>
      <c r="AB659" s="411"/>
      <c r="AC659" s="411"/>
      <c r="AD659" s="411"/>
      <c r="AE659" s="411"/>
      <c r="AF659" s="411"/>
      <c r="AG659" s="411"/>
    </row>
    <row r="660" ht="14.25" customHeight="1">
      <c r="O660" s="411"/>
      <c r="P660" s="411"/>
      <c r="Q660" s="411"/>
      <c r="R660" s="411"/>
      <c r="S660" s="411"/>
      <c r="T660" s="411"/>
      <c r="U660" s="411"/>
      <c r="V660" s="411"/>
      <c r="W660" s="411"/>
      <c r="X660" s="411"/>
      <c r="Y660" s="411"/>
      <c r="Z660" s="411"/>
      <c r="AA660" s="411"/>
      <c r="AB660" s="411"/>
      <c r="AC660" s="411"/>
      <c r="AD660" s="411"/>
      <c r="AE660" s="411"/>
      <c r="AF660" s="411"/>
      <c r="AG660" s="411"/>
    </row>
    <row r="661" ht="14.25" customHeight="1">
      <c r="O661" s="411"/>
      <c r="P661" s="411"/>
      <c r="Q661" s="411"/>
      <c r="R661" s="411"/>
      <c r="S661" s="411"/>
      <c r="T661" s="411"/>
      <c r="U661" s="411"/>
      <c r="V661" s="411"/>
      <c r="W661" s="411"/>
      <c r="X661" s="411"/>
      <c r="Y661" s="411"/>
      <c r="Z661" s="411"/>
      <c r="AA661" s="411"/>
      <c r="AB661" s="411"/>
      <c r="AC661" s="411"/>
      <c r="AD661" s="411"/>
      <c r="AE661" s="411"/>
      <c r="AF661" s="411"/>
      <c r="AG661" s="411"/>
    </row>
    <row r="662" ht="14.25" customHeight="1">
      <c r="O662" s="411"/>
      <c r="P662" s="411"/>
      <c r="Q662" s="411"/>
      <c r="R662" s="411"/>
      <c r="S662" s="411"/>
      <c r="T662" s="411"/>
      <c r="U662" s="411"/>
      <c r="V662" s="411"/>
      <c r="W662" s="411"/>
      <c r="X662" s="411"/>
      <c r="Y662" s="411"/>
      <c r="Z662" s="411"/>
      <c r="AA662" s="411"/>
      <c r="AB662" s="411"/>
      <c r="AC662" s="411"/>
      <c r="AD662" s="411"/>
      <c r="AE662" s="411"/>
      <c r="AF662" s="411"/>
      <c r="AG662" s="411"/>
    </row>
    <row r="663" ht="14.25" customHeight="1">
      <c r="O663" s="411"/>
      <c r="P663" s="411"/>
      <c r="Q663" s="411"/>
      <c r="R663" s="411"/>
      <c r="S663" s="411"/>
      <c r="T663" s="411"/>
      <c r="U663" s="411"/>
      <c r="V663" s="411"/>
      <c r="W663" s="411"/>
      <c r="X663" s="411"/>
      <c r="Y663" s="411"/>
      <c r="Z663" s="411"/>
      <c r="AA663" s="411"/>
      <c r="AB663" s="411"/>
      <c r="AC663" s="411"/>
      <c r="AD663" s="411"/>
      <c r="AE663" s="411"/>
      <c r="AF663" s="411"/>
      <c r="AG663" s="411"/>
    </row>
    <row r="664" ht="14.25" customHeight="1">
      <c r="O664" s="411"/>
      <c r="P664" s="411"/>
      <c r="Q664" s="411"/>
      <c r="R664" s="411"/>
      <c r="S664" s="411"/>
      <c r="T664" s="411"/>
      <c r="U664" s="411"/>
      <c r="V664" s="411"/>
      <c r="W664" s="411"/>
      <c r="X664" s="411"/>
      <c r="Y664" s="411"/>
      <c r="Z664" s="411"/>
      <c r="AA664" s="411"/>
      <c r="AB664" s="411"/>
      <c r="AC664" s="411"/>
      <c r="AD664" s="411"/>
      <c r="AE664" s="411"/>
      <c r="AF664" s="411"/>
      <c r="AG664" s="411"/>
    </row>
    <row r="665" ht="14.25" customHeight="1">
      <c r="O665" s="411"/>
      <c r="P665" s="411"/>
      <c r="Q665" s="411"/>
      <c r="R665" s="411"/>
      <c r="S665" s="411"/>
      <c r="T665" s="411"/>
      <c r="U665" s="411"/>
      <c r="V665" s="411"/>
      <c r="W665" s="411"/>
      <c r="X665" s="411"/>
      <c r="Y665" s="411"/>
      <c r="Z665" s="411"/>
      <c r="AA665" s="411"/>
      <c r="AB665" s="411"/>
      <c r="AC665" s="411"/>
      <c r="AD665" s="411"/>
      <c r="AE665" s="411"/>
      <c r="AF665" s="411"/>
      <c r="AG665" s="411"/>
    </row>
    <row r="666" ht="14.25" customHeight="1">
      <c r="O666" s="411"/>
      <c r="P666" s="411"/>
      <c r="Q666" s="411"/>
      <c r="R666" s="411"/>
      <c r="S666" s="411"/>
      <c r="T666" s="411"/>
      <c r="U666" s="411"/>
      <c r="V666" s="411"/>
      <c r="W666" s="411"/>
      <c r="X666" s="411"/>
      <c r="Y666" s="411"/>
      <c r="Z666" s="411"/>
      <c r="AA666" s="411"/>
      <c r="AB666" s="411"/>
      <c r="AC666" s="411"/>
      <c r="AD666" s="411"/>
      <c r="AE666" s="411"/>
      <c r="AF666" s="411"/>
      <c r="AG666" s="411"/>
    </row>
    <row r="667" ht="14.25" customHeight="1">
      <c r="O667" s="411"/>
      <c r="P667" s="411"/>
      <c r="Q667" s="411"/>
      <c r="R667" s="411"/>
      <c r="S667" s="411"/>
      <c r="T667" s="411"/>
      <c r="U667" s="411"/>
      <c r="V667" s="411"/>
      <c r="W667" s="411"/>
      <c r="X667" s="411"/>
      <c r="Y667" s="411"/>
      <c r="Z667" s="411"/>
      <c r="AA667" s="411"/>
      <c r="AB667" s="411"/>
      <c r="AC667" s="411"/>
      <c r="AD667" s="411"/>
      <c r="AE667" s="411"/>
      <c r="AF667" s="411"/>
      <c r="AG667" s="411"/>
    </row>
    <row r="668" ht="14.25" customHeight="1">
      <c r="O668" s="411"/>
      <c r="P668" s="411"/>
      <c r="Q668" s="411"/>
      <c r="R668" s="411"/>
      <c r="S668" s="411"/>
      <c r="T668" s="411"/>
      <c r="U668" s="411"/>
      <c r="V668" s="411"/>
      <c r="W668" s="411"/>
      <c r="X668" s="411"/>
      <c r="Y668" s="411"/>
      <c r="Z668" s="411"/>
      <c r="AA668" s="411"/>
      <c r="AB668" s="411"/>
      <c r="AC668" s="411"/>
      <c r="AD668" s="411"/>
      <c r="AE668" s="411"/>
      <c r="AF668" s="411"/>
      <c r="AG668" s="411"/>
    </row>
    <row r="669" ht="14.25" customHeight="1">
      <c r="O669" s="411"/>
      <c r="P669" s="411"/>
      <c r="Q669" s="411"/>
      <c r="R669" s="411"/>
      <c r="S669" s="411"/>
      <c r="T669" s="411"/>
      <c r="U669" s="411"/>
      <c r="V669" s="411"/>
      <c r="W669" s="411"/>
      <c r="X669" s="411"/>
      <c r="Y669" s="411"/>
      <c r="Z669" s="411"/>
      <c r="AA669" s="411"/>
      <c r="AB669" s="411"/>
      <c r="AC669" s="411"/>
      <c r="AD669" s="411"/>
      <c r="AE669" s="411"/>
      <c r="AF669" s="411"/>
      <c r="AG669" s="411"/>
    </row>
    <row r="670" ht="14.25" customHeight="1">
      <c r="O670" s="411"/>
      <c r="P670" s="411"/>
      <c r="Q670" s="411"/>
      <c r="R670" s="411"/>
      <c r="S670" s="411"/>
      <c r="T670" s="411"/>
      <c r="U670" s="411"/>
      <c r="V670" s="411"/>
      <c r="W670" s="411"/>
      <c r="X670" s="411"/>
      <c r="Y670" s="411"/>
      <c r="Z670" s="411"/>
      <c r="AA670" s="411"/>
      <c r="AB670" s="411"/>
      <c r="AC670" s="411"/>
      <c r="AD670" s="411"/>
      <c r="AE670" s="411"/>
      <c r="AF670" s="411"/>
      <c r="AG670" s="411"/>
    </row>
    <row r="671" ht="14.25" customHeight="1">
      <c r="O671" s="411"/>
      <c r="P671" s="411"/>
      <c r="Q671" s="411"/>
      <c r="R671" s="411"/>
      <c r="S671" s="411"/>
      <c r="T671" s="411"/>
      <c r="U671" s="411"/>
      <c r="V671" s="411"/>
      <c r="W671" s="411"/>
      <c r="X671" s="411"/>
      <c r="Y671" s="411"/>
      <c r="Z671" s="411"/>
      <c r="AA671" s="411"/>
      <c r="AB671" s="411"/>
      <c r="AC671" s="411"/>
      <c r="AD671" s="411"/>
      <c r="AE671" s="411"/>
      <c r="AF671" s="411"/>
      <c r="AG671" s="411"/>
    </row>
    <row r="672" ht="14.25" customHeight="1">
      <c r="O672" s="411"/>
      <c r="P672" s="411"/>
      <c r="Q672" s="411"/>
      <c r="R672" s="411"/>
      <c r="S672" s="411"/>
      <c r="T672" s="411"/>
      <c r="U672" s="411"/>
      <c r="V672" s="411"/>
      <c r="W672" s="411"/>
      <c r="X672" s="411"/>
      <c r="Y672" s="411"/>
      <c r="Z672" s="411"/>
      <c r="AA672" s="411"/>
      <c r="AB672" s="411"/>
      <c r="AC672" s="411"/>
      <c r="AD672" s="411"/>
      <c r="AE672" s="411"/>
      <c r="AF672" s="411"/>
      <c r="AG672" s="411"/>
    </row>
    <row r="673" ht="14.25" customHeight="1">
      <c r="O673" s="411"/>
      <c r="P673" s="411"/>
      <c r="Q673" s="411"/>
      <c r="R673" s="411"/>
      <c r="S673" s="411"/>
      <c r="T673" s="411"/>
      <c r="U673" s="411"/>
      <c r="V673" s="411"/>
      <c r="W673" s="411"/>
      <c r="X673" s="411"/>
      <c r="Y673" s="411"/>
      <c r="Z673" s="411"/>
      <c r="AA673" s="411"/>
      <c r="AB673" s="411"/>
      <c r="AC673" s="411"/>
      <c r="AD673" s="411"/>
      <c r="AE673" s="411"/>
      <c r="AF673" s="411"/>
      <c r="AG673" s="411"/>
    </row>
    <row r="674" ht="14.25" customHeight="1">
      <c r="O674" s="411"/>
      <c r="P674" s="411"/>
      <c r="Q674" s="411"/>
      <c r="R674" s="411"/>
      <c r="S674" s="411"/>
      <c r="T674" s="411"/>
      <c r="U674" s="411"/>
      <c r="V674" s="411"/>
      <c r="W674" s="411"/>
      <c r="X674" s="411"/>
      <c r="Y674" s="411"/>
      <c r="Z674" s="411"/>
      <c r="AA674" s="411"/>
      <c r="AB674" s="411"/>
      <c r="AC674" s="411"/>
      <c r="AD674" s="411"/>
      <c r="AE674" s="411"/>
      <c r="AF674" s="411"/>
      <c r="AG674" s="411"/>
    </row>
    <row r="675" ht="14.25" customHeight="1">
      <c r="O675" s="411"/>
      <c r="P675" s="411"/>
      <c r="Q675" s="411"/>
      <c r="R675" s="411"/>
      <c r="S675" s="411"/>
      <c r="T675" s="411"/>
      <c r="U675" s="411"/>
      <c r="V675" s="411"/>
      <c r="W675" s="411"/>
      <c r="X675" s="411"/>
      <c r="Y675" s="411"/>
      <c r="Z675" s="411"/>
      <c r="AA675" s="411"/>
      <c r="AB675" s="411"/>
      <c r="AC675" s="411"/>
      <c r="AD675" s="411"/>
      <c r="AE675" s="411"/>
      <c r="AF675" s="411"/>
      <c r="AG675" s="411"/>
    </row>
    <row r="676" ht="14.25" customHeight="1">
      <c r="O676" s="411"/>
      <c r="P676" s="411"/>
      <c r="Q676" s="411"/>
      <c r="R676" s="411"/>
      <c r="S676" s="411"/>
      <c r="T676" s="411"/>
      <c r="U676" s="411"/>
      <c r="V676" s="411"/>
      <c r="W676" s="411"/>
      <c r="X676" s="411"/>
      <c r="Y676" s="411"/>
      <c r="Z676" s="411"/>
      <c r="AA676" s="411"/>
      <c r="AB676" s="411"/>
      <c r="AC676" s="411"/>
      <c r="AD676" s="411"/>
      <c r="AE676" s="411"/>
      <c r="AF676" s="411"/>
      <c r="AG676" s="411"/>
    </row>
    <row r="677" ht="14.25" customHeight="1">
      <c r="O677" s="411"/>
      <c r="P677" s="411"/>
      <c r="Q677" s="411"/>
      <c r="R677" s="411"/>
      <c r="S677" s="411"/>
      <c r="T677" s="411"/>
      <c r="U677" s="411"/>
      <c r="V677" s="411"/>
      <c r="W677" s="411"/>
      <c r="X677" s="411"/>
      <c r="Y677" s="411"/>
      <c r="Z677" s="411"/>
      <c r="AA677" s="411"/>
      <c r="AB677" s="411"/>
      <c r="AC677" s="411"/>
      <c r="AD677" s="411"/>
      <c r="AE677" s="411"/>
      <c r="AF677" s="411"/>
      <c r="AG677" s="411"/>
    </row>
    <row r="678" ht="14.25" customHeight="1">
      <c r="O678" s="411"/>
      <c r="P678" s="411"/>
      <c r="Q678" s="411"/>
      <c r="R678" s="411"/>
      <c r="S678" s="411"/>
      <c r="T678" s="411"/>
      <c r="U678" s="411"/>
      <c r="V678" s="411"/>
      <c r="W678" s="411"/>
      <c r="X678" s="411"/>
      <c r="Y678" s="411"/>
      <c r="Z678" s="411"/>
      <c r="AA678" s="411"/>
      <c r="AB678" s="411"/>
      <c r="AC678" s="411"/>
      <c r="AD678" s="411"/>
      <c r="AE678" s="411"/>
      <c r="AF678" s="411"/>
      <c r="AG678" s="411"/>
    </row>
    <row r="679" ht="14.25" customHeight="1">
      <c r="O679" s="411"/>
      <c r="P679" s="411"/>
      <c r="Q679" s="411"/>
      <c r="R679" s="411"/>
      <c r="S679" s="411"/>
      <c r="T679" s="411"/>
      <c r="U679" s="411"/>
      <c r="V679" s="411"/>
      <c r="W679" s="411"/>
      <c r="X679" s="411"/>
      <c r="Y679" s="411"/>
      <c r="Z679" s="411"/>
      <c r="AA679" s="411"/>
      <c r="AB679" s="411"/>
      <c r="AC679" s="411"/>
      <c r="AD679" s="411"/>
      <c r="AE679" s="411"/>
      <c r="AF679" s="411"/>
      <c r="AG679" s="411"/>
    </row>
    <row r="680" ht="14.25" customHeight="1">
      <c r="O680" s="411"/>
      <c r="P680" s="411"/>
      <c r="Q680" s="411"/>
      <c r="R680" s="411"/>
      <c r="S680" s="411"/>
      <c r="T680" s="411"/>
      <c r="U680" s="411"/>
      <c r="V680" s="411"/>
      <c r="W680" s="411"/>
      <c r="X680" s="411"/>
      <c r="Y680" s="411"/>
      <c r="Z680" s="411"/>
      <c r="AA680" s="411"/>
      <c r="AB680" s="411"/>
      <c r="AC680" s="411"/>
      <c r="AD680" s="411"/>
      <c r="AE680" s="411"/>
      <c r="AF680" s="411"/>
      <c r="AG680" s="411"/>
    </row>
    <row r="681" ht="14.25" customHeight="1">
      <c r="O681" s="411"/>
      <c r="P681" s="411"/>
      <c r="Q681" s="411"/>
      <c r="R681" s="411"/>
      <c r="S681" s="411"/>
      <c r="T681" s="411"/>
      <c r="U681" s="411"/>
      <c r="V681" s="411"/>
      <c r="W681" s="411"/>
      <c r="X681" s="411"/>
      <c r="Y681" s="411"/>
      <c r="Z681" s="411"/>
      <c r="AA681" s="411"/>
      <c r="AB681" s="411"/>
      <c r="AC681" s="411"/>
      <c r="AD681" s="411"/>
      <c r="AE681" s="411"/>
      <c r="AF681" s="411"/>
      <c r="AG681" s="411"/>
    </row>
    <row r="682" ht="14.25" customHeight="1">
      <c r="O682" s="411"/>
      <c r="P682" s="411"/>
      <c r="Q682" s="411"/>
      <c r="R682" s="411"/>
      <c r="S682" s="411"/>
      <c r="T682" s="411"/>
      <c r="U682" s="411"/>
      <c r="V682" s="411"/>
      <c r="W682" s="411"/>
      <c r="X682" s="411"/>
      <c r="Y682" s="411"/>
      <c r="Z682" s="411"/>
      <c r="AA682" s="411"/>
      <c r="AB682" s="411"/>
      <c r="AC682" s="411"/>
      <c r="AD682" s="411"/>
      <c r="AE682" s="411"/>
      <c r="AF682" s="411"/>
      <c r="AG682" s="411"/>
    </row>
    <row r="683" ht="14.25" customHeight="1">
      <c r="O683" s="411"/>
      <c r="P683" s="411"/>
      <c r="Q683" s="411"/>
      <c r="R683" s="411"/>
      <c r="S683" s="411"/>
      <c r="T683" s="411"/>
      <c r="U683" s="411"/>
      <c r="V683" s="411"/>
      <c r="W683" s="411"/>
      <c r="X683" s="411"/>
      <c r="Y683" s="411"/>
      <c r="Z683" s="411"/>
      <c r="AA683" s="411"/>
      <c r="AB683" s="411"/>
      <c r="AC683" s="411"/>
      <c r="AD683" s="411"/>
      <c r="AE683" s="411"/>
      <c r="AF683" s="411"/>
      <c r="AG683" s="411"/>
    </row>
    <row r="684" ht="14.25" customHeight="1">
      <c r="O684" s="411"/>
      <c r="P684" s="411"/>
      <c r="Q684" s="411"/>
      <c r="R684" s="411"/>
      <c r="S684" s="411"/>
      <c r="T684" s="411"/>
      <c r="U684" s="411"/>
      <c r="V684" s="411"/>
      <c r="W684" s="411"/>
      <c r="X684" s="411"/>
      <c r="Y684" s="411"/>
      <c r="Z684" s="411"/>
      <c r="AA684" s="411"/>
      <c r="AB684" s="411"/>
      <c r="AC684" s="411"/>
      <c r="AD684" s="411"/>
      <c r="AE684" s="411"/>
      <c r="AF684" s="411"/>
      <c r="AG684" s="411"/>
    </row>
    <row r="685" ht="14.25" customHeight="1">
      <c r="O685" s="411"/>
      <c r="P685" s="411"/>
      <c r="Q685" s="411"/>
      <c r="R685" s="411"/>
      <c r="S685" s="411"/>
      <c r="T685" s="411"/>
      <c r="U685" s="411"/>
      <c r="V685" s="411"/>
      <c r="W685" s="411"/>
      <c r="X685" s="411"/>
      <c r="Y685" s="411"/>
      <c r="Z685" s="411"/>
      <c r="AA685" s="411"/>
      <c r="AB685" s="411"/>
      <c r="AC685" s="411"/>
      <c r="AD685" s="411"/>
      <c r="AE685" s="411"/>
      <c r="AF685" s="411"/>
      <c r="AG685" s="411"/>
    </row>
    <row r="686" ht="14.25" customHeight="1">
      <c r="O686" s="411"/>
      <c r="P686" s="411"/>
      <c r="Q686" s="411"/>
      <c r="R686" s="411"/>
      <c r="S686" s="411"/>
      <c r="T686" s="411"/>
      <c r="U686" s="411"/>
      <c r="V686" s="411"/>
      <c r="W686" s="411"/>
      <c r="X686" s="411"/>
      <c r="Y686" s="411"/>
      <c r="Z686" s="411"/>
      <c r="AA686" s="411"/>
      <c r="AB686" s="411"/>
      <c r="AC686" s="411"/>
      <c r="AD686" s="411"/>
      <c r="AE686" s="411"/>
      <c r="AF686" s="411"/>
      <c r="AG686" s="411"/>
    </row>
    <row r="687" ht="14.25" customHeight="1">
      <c r="O687" s="411"/>
      <c r="P687" s="411"/>
      <c r="Q687" s="411"/>
      <c r="R687" s="411"/>
      <c r="S687" s="411"/>
      <c r="T687" s="411"/>
      <c r="U687" s="411"/>
      <c r="V687" s="411"/>
      <c r="W687" s="411"/>
      <c r="X687" s="411"/>
      <c r="Y687" s="411"/>
      <c r="Z687" s="411"/>
      <c r="AA687" s="411"/>
      <c r="AB687" s="411"/>
      <c r="AC687" s="411"/>
      <c r="AD687" s="411"/>
      <c r="AE687" s="411"/>
      <c r="AF687" s="411"/>
      <c r="AG687" s="411"/>
    </row>
    <row r="688" ht="14.25" customHeight="1">
      <c r="O688" s="411"/>
      <c r="P688" s="411"/>
      <c r="Q688" s="411"/>
      <c r="R688" s="411"/>
      <c r="S688" s="411"/>
      <c r="T688" s="411"/>
      <c r="U688" s="411"/>
      <c r="V688" s="411"/>
      <c r="W688" s="411"/>
      <c r="X688" s="411"/>
      <c r="Y688" s="411"/>
      <c r="Z688" s="411"/>
      <c r="AA688" s="411"/>
      <c r="AB688" s="411"/>
      <c r="AC688" s="411"/>
      <c r="AD688" s="411"/>
      <c r="AE688" s="411"/>
      <c r="AF688" s="411"/>
      <c r="AG688" s="411"/>
    </row>
    <row r="689" ht="14.25" customHeight="1">
      <c r="O689" s="411"/>
      <c r="P689" s="411"/>
      <c r="Q689" s="411"/>
      <c r="R689" s="411"/>
      <c r="S689" s="411"/>
      <c r="T689" s="411"/>
      <c r="U689" s="411"/>
      <c r="V689" s="411"/>
      <c r="W689" s="411"/>
      <c r="X689" s="411"/>
      <c r="Y689" s="411"/>
      <c r="Z689" s="411"/>
      <c r="AA689" s="411"/>
      <c r="AB689" s="411"/>
      <c r="AC689" s="411"/>
      <c r="AD689" s="411"/>
      <c r="AE689" s="411"/>
      <c r="AF689" s="411"/>
      <c r="AG689" s="411"/>
    </row>
    <row r="690" ht="14.25" customHeight="1">
      <c r="O690" s="411"/>
      <c r="P690" s="411"/>
      <c r="Q690" s="411"/>
      <c r="R690" s="411"/>
      <c r="S690" s="411"/>
      <c r="T690" s="411"/>
      <c r="U690" s="411"/>
      <c r="V690" s="411"/>
      <c r="W690" s="411"/>
      <c r="X690" s="411"/>
      <c r="Y690" s="411"/>
      <c r="Z690" s="411"/>
      <c r="AA690" s="411"/>
      <c r="AB690" s="411"/>
      <c r="AC690" s="411"/>
      <c r="AD690" s="411"/>
      <c r="AE690" s="411"/>
      <c r="AF690" s="411"/>
      <c r="AG690" s="411"/>
    </row>
    <row r="691" ht="14.25" customHeight="1">
      <c r="O691" s="411"/>
      <c r="P691" s="411"/>
      <c r="Q691" s="411"/>
      <c r="R691" s="411"/>
      <c r="S691" s="411"/>
      <c r="T691" s="411"/>
      <c r="U691" s="411"/>
      <c r="V691" s="411"/>
      <c r="W691" s="411"/>
      <c r="X691" s="411"/>
      <c r="Y691" s="411"/>
      <c r="Z691" s="411"/>
      <c r="AA691" s="411"/>
      <c r="AB691" s="411"/>
      <c r="AC691" s="411"/>
      <c r="AD691" s="411"/>
      <c r="AE691" s="411"/>
      <c r="AF691" s="411"/>
      <c r="AG691" s="411"/>
    </row>
    <row r="692" ht="14.25" customHeight="1">
      <c r="O692" s="411"/>
      <c r="P692" s="411"/>
      <c r="Q692" s="411"/>
      <c r="R692" s="411"/>
      <c r="S692" s="411"/>
      <c r="T692" s="411"/>
      <c r="U692" s="411"/>
      <c r="V692" s="411"/>
      <c r="W692" s="411"/>
      <c r="X692" s="411"/>
      <c r="Y692" s="411"/>
      <c r="Z692" s="411"/>
      <c r="AA692" s="411"/>
      <c r="AB692" s="411"/>
      <c r="AC692" s="411"/>
      <c r="AD692" s="411"/>
      <c r="AE692" s="411"/>
      <c r="AF692" s="411"/>
      <c r="AG692" s="411"/>
    </row>
    <row r="693" ht="14.25" customHeight="1">
      <c r="O693" s="411"/>
      <c r="P693" s="411"/>
      <c r="Q693" s="411"/>
      <c r="R693" s="411"/>
      <c r="S693" s="411"/>
      <c r="T693" s="411"/>
      <c r="U693" s="411"/>
      <c r="V693" s="411"/>
      <c r="W693" s="411"/>
      <c r="X693" s="411"/>
      <c r="Y693" s="411"/>
      <c r="Z693" s="411"/>
      <c r="AA693" s="411"/>
      <c r="AB693" s="411"/>
      <c r="AC693" s="411"/>
      <c r="AD693" s="411"/>
      <c r="AE693" s="411"/>
      <c r="AF693" s="411"/>
      <c r="AG693" s="411"/>
    </row>
    <row r="694" ht="14.25" customHeight="1">
      <c r="O694" s="411"/>
      <c r="P694" s="411"/>
      <c r="Q694" s="411"/>
      <c r="R694" s="411"/>
      <c r="S694" s="411"/>
      <c r="T694" s="411"/>
      <c r="U694" s="411"/>
      <c r="V694" s="411"/>
      <c r="W694" s="411"/>
      <c r="X694" s="411"/>
      <c r="Y694" s="411"/>
      <c r="Z694" s="411"/>
      <c r="AA694" s="411"/>
      <c r="AB694" s="411"/>
      <c r="AC694" s="411"/>
      <c r="AD694" s="411"/>
      <c r="AE694" s="411"/>
      <c r="AF694" s="411"/>
      <c r="AG694" s="411"/>
    </row>
    <row r="695" ht="14.25" customHeight="1">
      <c r="O695" s="411"/>
      <c r="P695" s="411"/>
      <c r="Q695" s="411"/>
      <c r="R695" s="411"/>
      <c r="S695" s="411"/>
      <c r="T695" s="411"/>
      <c r="U695" s="411"/>
      <c r="V695" s="411"/>
      <c r="W695" s="411"/>
      <c r="X695" s="411"/>
      <c r="Y695" s="411"/>
      <c r="Z695" s="411"/>
      <c r="AA695" s="411"/>
      <c r="AB695" s="411"/>
      <c r="AC695" s="411"/>
      <c r="AD695" s="411"/>
      <c r="AE695" s="411"/>
      <c r="AF695" s="411"/>
      <c r="AG695" s="411"/>
    </row>
    <row r="696" ht="14.25" customHeight="1">
      <c r="O696" s="411"/>
      <c r="P696" s="411"/>
      <c r="Q696" s="411"/>
      <c r="R696" s="411"/>
      <c r="S696" s="411"/>
      <c r="T696" s="411"/>
      <c r="U696" s="411"/>
      <c r="V696" s="411"/>
      <c r="W696" s="411"/>
      <c r="X696" s="411"/>
      <c r="Y696" s="411"/>
      <c r="Z696" s="411"/>
      <c r="AA696" s="411"/>
      <c r="AB696" s="411"/>
      <c r="AC696" s="411"/>
      <c r="AD696" s="411"/>
      <c r="AE696" s="411"/>
      <c r="AF696" s="411"/>
      <c r="AG696" s="411"/>
    </row>
    <row r="697" ht="14.25" customHeight="1">
      <c r="O697" s="411"/>
      <c r="P697" s="411"/>
      <c r="Q697" s="411"/>
      <c r="R697" s="411"/>
      <c r="S697" s="411"/>
      <c r="T697" s="411"/>
      <c r="U697" s="411"/>
      <c r="V697" s="411"/>
      <c r="W697" s="411"/>
      <c r="X697" s="411"/>
      <c r="Y697" s="411"/>
      <c r="Z697" s="411"/>
      <c r="AA697" s="411"/>
      <c r="AB697" s="411"/>
      <c r="AC697" s="411"/>
      <c r="AD697" s="411"/>
      <c r="AE697" s="411"/>
      <c r="AF697" s="411"/>
      <c r="AG697" s="411"/>
    </row>
    <row r="698" ht="14.25" customHeight="1">
      <c r="O698" s="411"/>
      <c r="P698" s="411"/>
      <c r="Q698" s="411"/>
      <c r="R698" s="411"/>
      <c r="S698" s="411"/>
      <c r="T698" s="411"/>
      <c r="U698" s="411"/>
      <c r="V698" s="411"/>
      <c r="W698" s="411"/>
      <c r="X698" s="411"/>
      <c r="Y698" s="411"/>
      <c r="Z698" s="411"/>
      <c r="AA698" s="411"/>
      <c r="AB698" s="411"/>
      <c r="AC698" s="411"/>
      <c r="AD698" s="411"/>
      <c r="AE698" s="411"/>
      <c r="AF698" s="411"/>
      <c r="AG698" s="411"/>
    </row>
    <row r="699" ht="14.25" customHeight="1">
      <c r="O699" s="411"/>
      <c r="P699" s="411"/>
      <c r="Q699" s="411"/>
      <c r="R699" s="411"/>
      <c r="S699" s="411"/>
      <c r="T699" s="411"/>
      <c r="U699" s="411"/>
      <c r="V699" s="411"/>
      <c r="W699" s="411"/>
      <c r="X699" s="411"/>
      <c r="Y699" s="411"/>
      <c r="Z699" s="411"/>
      <c r="AA699" s="411"/>
      <c r="AB699" s="411"/>
      <c r="AC699" s="411"/>
      <c r="AD699" s="411"/>
      <c r="AE699" s="411"/>
      <c r="AF699" s="411"/>
      <c r="AG699" s="411"/>
    </row>
    <row r="700" ht="14.25" customHeight="1">
      <c r="O700" s="411"/>
      <c r="P700" s="411"/>
      <c r="Q700" s="411"/>
      <c r="R700" s="411"/>
      <c r="S700" s="411"/>
      <c r="T700" s="411"/>
      <c r="U700" s="411"/>
      <c r="V700" s="411"/>
      <c r="W700" s="411"/>
      <c r="X700" s="411"/>
      <c r="Y700" s="411"/>
      <c r="Z700" s="411"/>
      <c r="AA700" s="411"/>
      <c r="AB700" s="411"/>
      <c r="AC700" s="411"/>
      <c r="AD700" s="411"/>
      <c r="AE700" s="411"/>
      <c r="AF700" s="411"/>
      <c r="AG700" s="411"/>
    </row>
    <row r="701" ht="14.25" customHeight="1">
      <c r="O701" s="411"/>
      <c r="P701" s="411"/>
      <c r="Q701" s="411"/>
      <c r="R701" s="411"/>
      <c r="S701" s="411"/>
      <c r="T701" s="411"/>
      <c r="U701" s="411"/>
      <c r="V701" s="411"/>
      <c r="W701" s="411"/>
      <c r="X701" s="411"/>
      <c r="Y701" s="411"/>
      <c r="Z701" s="411"/>
      <c r="AA701" s="411"/>
      <c r="AB701" s="411"/>
      <c r="AC701" s="411"/>
      <c r="AD701" s="411"/>
      <c r="AE701" s="411"/>
      <c r="AF701" s="411"/>
      <c r="AG701" s="411"/>
    </row>
    <row r="702" ht="14.25" customHeight="1">
      <c r="O702" s="411"/>
      <c r="P702" s="411"/>
      <c r="Q702" s="411"/>
      <c r="R702" s="411"/>
      <c r="S702" s="411"/>
      <c r="T702" s="411"/>
      <c r="U702" s="411"/>
      <c r="V702" s="411"/>
      <c r="W702" s="411"/>
      <c r="X702" s="411"/>
      <c r="Y702" s="411"/>
      <c r="Z702" s="411"/>
      <c r="AA702" s="411"/>
      <c r="AB702" s="411"/>
      <c r="AC702" s="411"/>
      <c r="AD702" s="411"/>
      <c r="AE702" s="411"/>
      <c r="AF702" s="411"/>
      <c r="AG702" s="411"/>
    </row>
    <row r="703" ht="14.25" customHeight="1">
      <c r="O703" s="411"/>
      <c r="P703" s="411"/>
      <c r="Q703" s="411"/>
      <c r="R703" s="411"/>
      <c r="S703" s="411"/>
      <c r="T703" s="411"/>
      <c r="U703" s="411"/>
      <c r="V703" s="411"/>
      <c r="W703" s="411"/>
      <c r="X703" s="411"/>
      <c r="Y703" s="411"/>
      <c r="Z703" s="411"/>
      <c r="AA703" s="411"/>
      <c r="AB703" s="411"/>
      <c r="AC703" s="411"/>
      <c r="AD703" s="411"/>
      <c r="AE703" s="411"/>
      <c r="AF703" s="411"/>
      <c r="AG703" s="411"/>
    </row>
    <row r="704" ht="14.25" customHeight="1">
      <c r="O704" s="411"/>
      <c r="P704" s="411"/>
      <c r="Q704" s="411"/>
      <c r="R704" s="411"/>
      <c r="S704" s="411"/>
      <c r="T704" s="411"/>
      <c r="U704" s="411"/>
      <c r="V704" s="411"/>
      <c r="W704" s="411"/>
      <c r="X704" s="411"/>
      <c r="Y704" s="411"/>
      <c r="Z704" s="411"/>
      <c r="AA704" s="411"/>
      <c r="AB704" s="411"/>
      <c r="AC704" s="411"/>
      <c r="AD704" s="411"/>
      <c r="AE704" s="411"/>
      <c r="AF704" s="411"/>
      <c r="AG704" s="411"/>
    </row>
    <row r="705" ht="14.25" customHeight="1">
      <c r="O705" s="411"/>
      <c r="P705" s="411"/>
      <c r="Q705" s="411"/>
      <c r="R705" s="411"/>
      <c r="S705" s="411"/>
      <c r="T705" s="411"/>
      <c r="U705" s="411"/>
      <c r="V705" s="411"/>
      <c r="W705" s="411"/>
      <c r="X705" s="411"/>
      <c r="Y705" s="411"/>
      <c r="Z705" s="411"/>
      <c r="AA705" s="411"/>
      <c r="AB705" s="411"/>
      <c r="AC705" s="411"/>
      <c r="AD705" s="411"/>
      <c r="AE705" s="411"/>
      <c r="AF705" s="411"/>
      <c r="AG705" s="411"/>
    </row>
    <row r="706" ht="14.25" customHeight="1">
      <c r="O706" s="411"/>
      <c r="P706" s="411"/>
      <c r="Q706" s="411"/>
      <c r="R706" s="411"/>
      <c r="S706" s="411"/>
      <c r="T706" s="411"/>
      <c r="U706" s="411"/>
      <c r="V706" s="411"/>
      <c r="W706" s="411"/>
      <c r="X706" s="411"/>
      <c r="Y706" s="411"/>
      <c r="Z706" s="411"/>
      <c r="AA706" s="411"/>
      <c r="AB706" s="411"/>
      <c r="AC706" s="411"/>
      <c r="AD706" s="411"/>
      <c r="AE706" s="411"/>
      <c r="AF706" s="411"/>
      <c r="AG706" s="411"/>
    </row>
    <row r="707" ht="14.25" customHeight="1">
      <c r="O707" s="411"/>
      <c r="P707" s="411"/>
      <c r="Q707" s="411"/>
      <c r="R707" s="411"/>
      <c r="S707" s="411"/>
      <c r="T707" s="411"/>
      <c r="U707" s="411"/>
      <c r="V707" s="411"/>
      <c r="W707" s="411"/>
      <c r="X707" s="411"/>
      <c r="Y707" s="411"/>
      <c r="Z707" s="411"/>
      <c r="AA707" s="411"/>
      <c r="AB707" s="411"/>
      <c r="AC707" s="411"/>
      <c r="AD707" s="411"/>
      <c r="AE707" s="411"/>
      <c r="AF707" s="411"/>
      <c r="AG707" s="411"/>
    </row>
    <row r="708" ht="14.25" customHeight="1">
      <c r="O708" s="411"/>
      <c r="P708" s="411"/>
      <c r="Q708" s="411"/>
      <c r="R708" s="411"/>
      <c r="S708" s="411"/>
      <c r="T708" s="411"/>
      <c r="U708" s="411"/>
      <c r="V708" s="411"/>
      <c r="W708" s="411"/>
      <c r="X708" s="411"/>
      <c r="Y708" s="411"/>
      <c r="Z708" s="411"/>
      <c r="AA708" s="411"/>
      <c r="AB708" s="411"/>
      <c r="AC708" s="411"/>
      <c r="AD708" s="411"/>
      <c r="AE708" s="411"/>
      <c r="AF708" s="411"/>
      <c r="AG708" s="411"/>
    </row>
    <row r="709" ht="14.25" customHeight="1">
      <c r="O709" s="411"/>
      <c r="P709" s="411"/>
      <c r="Q709" s="411"/>
      <c r="R709" s="411"/>
      <c r="S709" s="411"/>
      <c r="T709" s="411"/>
      <c r="U709" s="411"/>
      <c r="V709" s="411"/>
      <c r="W709" s="411"/>
      <c r="X709" s="411"/>
      <c r="Y709" s="411"/>
      <c r="Z709" s="411"/>
      <c r="AA709" s="411"/>
      <c r="AB709" s="411"/>
      <c r="AC709" s="411"/>
      <c r="AD709" s="411"/>
      <c r="AE709" s="411"/>
      <c r="AF709" s="411"/>
      <c r="AG709" s="411"/>
    </row>
    <row r="710" ht="14.25" customHeight="1">
      <c r="O710" s="411"/>
      <c r="P710" s="411"/>
      <c r="Q710" s="411"/>
      <c r="R710" s="411"/>
      <c r="S710" s="411"/>
      <c r="T710" s="411"/>
      <c r="U710" s="411"/>
      <c r="V710" s="411"/>
      <c r="W710" s="411"/>
      <c r="X710" s="411"/>
      <c r="Y710" s="411"/>
      <c r="Z710" s="411"/>
      <c r="AA710" s="411"/>
      <c r="AB710" s="411"/>
      <c r="AC710" s="411"/>
      <c r="AD710" s="411"/>
      <c r="AE710" s="411"/>
      <c r="AF710" s="411"/>
      <c r="AG710" s="411"/>
    </row>
    <row r="711" ht="14.25" customHeight="1">
      <c r="O711" s="411"/>
      <c r="P711" s="411"/>
      <c r="Q711" s="411"/>
      <c r="R711" s="411"/>
      <c r="S711" s="411"/>
      <c r="T711" s="411"/>
      <c r="U711" s="411"/>
      <c r="V711" s="411"/>
      <c r="W711" s="411"/>
      <c r="X711" s="411"/>
      <c r="Y711" s="411"/>
      <c r="Z711" s="411"/>
      <c r="AA711" s="411"/>
      <c r="AB711" s="411"/>
      <c r="AC711" s="411"/>
      <c r="AD711" s="411"/>
      <c r="AE711" s="411"/>
      <c r="AF711" s="411"/>
      <c r="AG711" s="411"/>
    </row>
    <row r="712" ht="14.25" customHeight="1">
      <c r="O712" s="411"/>
      <c r="P712" s="411"/>
      <c r="Q712" s="411"/>
      <c r="R712" s="411"/>
      <c r="S712" s="411"/>
      <c r="T712" s="411"/>
      <c r="U712" s="411"/>
      <c r="V712" s="411"/>
      <c r="W712" s="411"/>
      <c r="X712" s="411"/>
      <c r="Y712" s="411"/>
      <c r="Z712" s="411"/>
      <c r="AA712" s="411"/>
      <c r="AB712" s="411"/>
      <c r="AC712" s="411"/>
      <c r="AD712" s="411"/>
      <c r="AE712" s="411"/>
      <c r="AF712" s="411"/>
      <c r="AG712" s="411"/>
    </row>
    <row r="713" ht="14.25" customHeight="1">
      <c r="O713" s="411"/>
      <c r="P713" s="411"/>
      <c r="Q713" s="411"/>
      <c r="R713" s="411"/>
      <c r="S713" s="411"/>
      <c r="T713" s="411"/>
      <c r="U713" s="411"/>
      <c r="V713" s="411"/>
      <c r="W713" s="411"/>
      <c r="X713" s="411"/>
      <c r="Y713" s="411"/>
      <c r="Z713" s="411"/>
      <c r="AA713" s="411"/>
      <c r="AB713" s="411"/>
      <c r="AC713" s="411"/>
      <c r="AD713" s="411"/>
      <c r="AE713" s="411"/>
      <c r="AF713" s="411"/>
      <c r="AG713" s="411"/>
    </row>
    <row r="714" ht="14.25" customHeight="1">
      <c r="O714" s="411"/>
      <c r="P714" s="411"/>
      <c r="Q714" s="411"/>
      <c r="R714" s="411"/>
      <c r="S714" s="411"/>
      <c r="T714" s="411"/>
      <c r="U714" s="411"/>
      <c r="V714" s="411"/>
      <c r="W714" s="411"/>
      <c r="X714" s="411"/>
      <c r="Y714" s="411"/>
      <c r="Z714" s="411"/>
      <c r="AA714" s="411"/>
      <c r="AB714" s="411"/>
      <c r="AC714" s="411"/>
      <c r="AD714" s="411"/>
      <c r="AE714" s="411"/>
      <c r="AF714" s="411"/>
      <c r="AG714" s="411"/>
    </row>
    <row r="715" ht="14.25" customHeight="1">
      <c r="O715" s="411"/>
      <c r="P715" s="411"/>
      <c r="Q715" s="411"/>
      <c r="R715" s="411"/>
      <c r="S715" s="411"/>
      <c r="T715" s="411"/>
      <c r="U715" s="411"/>
      <c r="V715" s="411"/>
      <c r="W715" s="411"/>
      <c r="X715" s="411"/>
      <c r="Y715" s="411"/>
      <c r="Z715" s="411"/>
      <c r="AA715" s="411"/>
      <c r="AB715" s="411"/>
      <c r="AC715" s="411"/>
      <c r="AD715" s="411"/>
      <c r="AE715" s="411"/>
      <c r="AF715" s="411"/>
      <c r="AG715" s="411"/>
    </row>
    <row r="716" ht="14.25" customHeight="1">
      <c r="O716" s="411"/>
      <c r="P716" s="411"/>
      <c r="Q716" s="411"/>
      <c r="R716" s="411"/>
      <c r="S716" s="411"/>
      <c r="T716" s="411"/>
      <c r="U716" s="411"/>
      <c r="V716" s="411"/>
      <c r="W716" s="411"/>
      <c r="X716" s="411"/>
      <c r="Y716" s="411"/>
      <c r="Z716" s="411"/>
      <c r="AA716" s="411"/>
      <c r="AB716" s="411"/>
      <c r="AC716" s="411"/>
      <c r="AD716" s="411"/>
      <c r="AE716" s="411"/>
      <c r="AF716" s="411"/>
      <c r="AG716" s="411"/>
    </row>
    <row r="717" ht="14.25" customHeight="1">
      <c r="O717" s="411"/>
      <c r="P717" s="411"/>
      <c r="Q717" s="411"/>
      <c r="R717" s="411"/>
      <c r="S717" s="411"/>
      <c r="T717" s="411"/>
      <c r="U717" s="411"/>
      <c r="V717" s="411"/>
      <c r="W717" s="411"/>
      <c r="X717" s="411"/>
      <c r="Y717" s="411"/>
      <c r="Z717" s="411"/>
      <c r="AA717" s="411"/>
      <c r="AB717" s="411"/>
      <c r="AC717" s="411"/>
      <c r="AD717" s="411"/>
      <c r="AE717" s="411"/>
      <c r="AF717" s="411"/>
      <c r="AG717" s="411"/>
    </row>
    <row r="718" ht="14.25" customHeight="1">
      <c r="O718" s="411"/>
      <c r="P718" s="411"/>
      <c r="Q718" s="411"/>
      <c r="R718" s="411"/>
      <c r="S718" s="411"/>
      <c r="T718" s="411"/>
      <c r="U718" s="411"/>
      <c r="V718" s="411"/>
      <c r="W718" s="411"/>
      <c r="X718" s="411"/>
      <c r="Y718" s="411"/>
      <c r="Z718" s="411"/>
      <c r="AA718" s="411"/>
      <c r="AB718" s="411"/>
      <c r="AC718" s="411"/>
      <c r="AD718" s="411"/>
      <c r="AE718" s="411"/>
      <c r="AF718" s="411"/>
      <c r="AG718" s="411"/>
    </row>
    <row r="719" ht="14.25" customHeight="1">
      <c r="O719" s="411"/>
      <c r="P719" s="411"/>
      <c r="Q719" s="411"/>
      <c r="R719" s="411"/>
      <c r="S719" s="411"/>
      <c r="T719" s="411"/>
      <c r="U719" s="411"/>
      <c r="V719" s="411"/>
      <c r="W719" s="411"/>
      <c r="X719" s="411"/>
      <c r="Y719" s="411"/>
      <c r="Z719" s="411"/>
      <c r="AA719" s="411"/>
      <c r="AB719" s="411"/>
      <c r="AC719" s="411"/>
      <c r="AD719" s="411"/>
      <c r="AE719" s="411"/>
      <c r="AF719" s="411"/>
      <c r="AG719" s="411"/>
    </row>
    <row r="720" ht="14.25" customHeight="1">
      <c r="O720" s="411"/>
      <c r="P720" s="411"/>
      <c r="Q720" s="411"/>
      <c r="R720" s="411"/>
      <c r="S720" s="411"/>
      <c r="T720" s="411"/>
      <c r="U720" s="411"/>
      <c r="V720" s="411"/>
      <c r="W720" s="411"/>
      <c r="X720" s="411"/>
      <c r="Y720" s="411"/>
      <c r="Z720" s="411"/>
      <c r="AA720" s="411"/>
      <c r="AB720" s="411"/>
      <c r="AC720" s="411"/>
      <c r="AD720" s="411"/>
      <c r="AE720" s="411"/>
      <c r="AF720" s="411"/>
      <c r="AG720" s="411"/>
    </row>
    <row r="721" ht="14.25" customHeight="1">
      <c r="O721" s="411"/>
      <c r="P721" s="411"/>
      <c r="Q721" s="411"/>
      <c r="R721" s="411"/>
      <c r="S721" s="411"/>
      <c r="T721" s="411"/>
      <c r="U721" s="411"/>
      <c r="V721" s="411"/>
      <c r="W721" s="411"/>
      <c r="X721" s="411"/>
      <c r="Y721" s="411"/>
      <c r="Z721" s="411"/>
      <c r="AA721" s="411"/>
      <c r="AB721" s="411"/>
      <c r="AC721" s="411"/>
      <c r="AD721" s="411"/>
      <c r="AE721" s="411"/>
      <c r="AF721" s="411"/>
      <c r="AG721" s="411"/>
    </row>
    <row r="722" ht="14.25" customHeight="1">
      <c r="O722" s="411"/>
      <c r="P722" s="411"/>
      <c r="Q722" s="411"/>
      <c r="R722" s="411"/>
      <c r="S722" s="411"/>
      <c r="T722" s="411"/>
      <c r="U722" s="411"/>
      <c r="V722" s="411"/>
      <c r="W722" s="411"/>
      <c r="X722" s="411"/>
      <c r="Y722" s="411"/>
      <c r="Z722" s="411"/>
      <c r="AA722" s="411"/>
      <c r="AB722" s="411"/>
      <c r="AC722" s="411"/>
      <c r="AD722" s="411"/>
      <c r="AE722" s="411"/>
      <c r="AF722" s="411"/>
      <c r="AG722" s="411"/>
    </row>
    <row r="723" ht="14.25" customHeight="1">
      <c r="O723" s="411"/>
      <c r="P723" s="411"/>
      <c r="Q723" s="411"/>
      <c r="R723" s="411"/>
      <c r="S723" s="411"/>
      <c r="T723" s="411"/>
      <c r="U723" s="411"/>
      <c r="V723" s="411"/>
      <c r="W723" s="411"/>
      <c r="X723" s="411"/>
      <c r="Y723" s="411"/>
      <c r="Z723" s="411"/>
      <c r="AA723" s="411"/>
      <c r="AB723" s="411"/>
      <c r="AC723" s="411"/>
      <c r="AD723" s="411"/>
      <c r="AE723" s="411"/>
      <c r="AF723" s="411"/>
      <c r="AG723" s="411"/>
    </row>
    <row r="724" ht="14.25" customHeight="1">
      <c r="O724" s="411"/>
      <c r="P724" s="411"/>
      <c r="Q724" s="411"/>
      <c r="R724" s="411"/>
      <c r="S724" s="411"/>
      <c r="T724" s="411"/>
      <c r="U724" s="411"/>
      <c r="V724" s="411"/>
      <c r="W724" s="411"/>
      <c r="X724" s="411"/>
      <c r="Y724" s="411"/>
      <c r="Z724" s="411"/>
      <c r="AA724" s="411"/>
      <c r="AB724" s="411"/>
      <c r="AC724" s="411"/>
      <c r="AD724" s="411"/>
      <c r="AE724" s="411"/>
      <c r="AF724" s="411"/>
      <c r="AG724" s="411"/>
    </row>
    <row r="725" ht="14.25" customHeight="1">
      <c r="O725" s="411"/>
      <c r="P725" s="411"/>
      <c r="Q725" s="411"/>
      <c r="R725" s="411"/>
      <c r="S725" s="411"/>
      <c r="T725" s="411"/>
      <c r="U725" s="411"/>
      <c r="V725" s="411"/>
      <c r="W725" s="411"/>
      <c r="X725" s="411"/>
      <c r="Y725" s="411"/>
      <c r="Z725" s="411"/>
      <c r="AA725" s="411"/>
      <c r="AB725" s="411"/>
      <c r="AC725" s="411"/>
      <c r="AD725" s="411"/>
      <c r="AE725" s="411"/>
      <c r="AF725" s="411"/>
      <c r="AG725" s="411"/>
    </row>
    <row r="726" ht="14.25" customHeight="1">
      <c r="O726" s="411"/>
      <c r="P726" s="411"/>
      <c r="Q726" s="411"/>
      <c r="R726" s="411"/>
      <c r="S726" s="411"/>
      <c r="T726" s="411"/>
      <c r="U726" s="411"/>
      <c r="V726" s="411"/>
      <c r="W726" s="411"/>
      <c r="X726" s="411"/>
      <c r="Y726" s="411"/>
      <c r="Z726" s="411"/>
      <c r="AA726" s="411"/>
      <c r="AB726" s="411"/>
      <c r="AC726" s="411"/>
      <c r="AD726" s="411"/>
      <c r="AE726" s="411"/>
      <c r="AF726" s="411"/>
      <c r="AG726" s="411"/>
    </row>
    <row r="727" ht="14.25" customHeight="1">
      <c r="O727" s="411"/>
      <c r="P727" s="411"/>
      <c r="Q727" s="411"/>
      <c r="R727" s="411"/>
      <c r="S727" s="411"/>
      <c r="T727" s="411"/>
      <c r="U727" s="411"/>
      <c r="V727" s="411"/>
      <c r="W727" s="411"/>
      <c r="X727" s="411"/>
      <c r="Y727" s="411"/>
      <c r="Z727" s="411"/>
      <c r="AA727" s="411"/>
      <c r="AB727" s="411"/>
      <c r="AC727" s="411"/>
      <c r="AD727" s="411"/>
      <c r="AE727" s="411"/>
      <c r="AF727" s="411"/>
      <c r="AG727" s="411"/>
    </row>
    <row r="728" ht="14.25" customHeight="1">
      <c r="O728" s="411"/>
      <c r="P728" s="411"/>
      <c r="Q728" s="411"/>
      <c r="R728" s="411"/>
      <c r="S728" s="411"/>
      <c r="T728" s="411"/>
      <c r="U728" s="411"/>
      <c r="V728" s="411"/>
      <c r="W728" s="411"/>
      <c r="X728" s="411"/>
      <c r="Y728" s="411"/>
      <c r="Z728" s="411"/>
      <c r="AA728" s="411"/>
      <c r="AB728" s="411"/>
      <c r="AC728" s="411"/>
      <c r="AD728" s="411"/>
      <c r="AE728" s="411"/>
      <c r="AF728" s="411"/>
      <c r="AG728" s="411"/>
    </row>
    <row r="729" ht="14.25" customHeight="1">
      <c r="O729" s="411"/>
      <c r="P729" s="411"/>
      <c r="Q729" s="411"/>
      <c r="R729" s="411"/>
      <c r="S729" s="411"/>
      <c r="T729" s="411"/>
      <c r="U729" s="411"/>
      <c r="V729" s="411"/>
      <c r="W729" s="411"/>
      <c r="X729" s="411"/>
      <c r="Y729" s="411"/>
      <c r="Z729" s="411"/>
      <c r="AA729" s="411"/>
      <c r="AB729" s="411"/>
      <c r="AC729" s="411"/>
      <c r="AD729" s="411"/>
      <c r="AE729" s="411"/>
      <c r="AF729" s="411"/>
      <c r="AG729" s="411"/>
    </row>
    <row r="730" ht="14.25" customHeight="1">
      <c r="O730" s="411"/>
      <c r="P730" s="411"/>
      <c r="Q730" s="411"/>
      <c r="R730" s="411"/>
      <c r="S730" s="411"/>
      <c r="T730" s="411"/>
      <c r="U730" s="411"/>
      <c r="V730" s="411"/>
      <c r="W730" s="411"/>
      <c r="X730" s="411"/>
      <c r="Y730" s="411"/>
      <c r="Z730" s="411"/>
      <c r="AA730" s="411"/>
      <c r="AB730" s="411"/>
      <c r="AC730" s="411"/>
      <c r="AD730" s="411"/>
      <c r="AE730" s="411"/>
      <c r="AF730" s="411"/>
      <c r="AG730" s="411"/>
    </row>
    <row r="731" ht="14.25" customHeight="1">
      <c r="O731" s="411"/>
      <c r="P731" s="411"/>
      <c r="Q731" s="411"/>
      <c r="R731" s="411"/>
      <c r="S731" s="411"/>
      <c r="T731" s="411"/>
      <c r="U731" s="411"/>
      <c r="V731" s="411"/>
      <c r="W731" s="411"/>
      <c r="X731" s="411"/>
      <c r="Y731" s="411"/>
      <c r="Z731" s="411"/>
      <c r="AA731" s="411"/>
      <c r="AB731" s="411"/>
      <c r="AC731" s="411"/>
      <c r="AD731" s="411"/>
      <c r="AE731" s="411"/>
      <c r="AF731" s="411"/>
      <c r="AG731" s="411"/>
    </row>
    <row r="732" ht="14.25" customHeight="1">
      <c r="O732" s="411"/>
      <c r="P732" s="411"/>
      <c r="Q732" s="411"/>
      <c r="R732" s="411"/>
      <c r="S732" s="411"/>
      <c r="T732" s="411"/>
      <c r="U732" s="411"/>
      <c r="V732" s="411"/>
      <c r="W732" s="411"/>
      <c r="X732" s="411"/>
      <c r="Y732" s="411"/>
      <c r="Z732" s="411"/>
      <c r="AA732" s="411"/>
      <c r="AB732" s="411"/>
      <c r="AC732" s="411"/>
      <c r="AD732" s="411"/>
      <c r="AE732" s="411"/>
      <c r="AF732" s="411"/>
      <c r="AG732" s="411"/>
    </row>
    <row r="733" ht="14.25" customHeight="1">
      <c r="O733" s="411"/>
      <c r="P733" s="411"/>
      <c r="Q733" s="411"/>
      <c r="R733" s="411"/>
      <c r="S733" s="411"/>
      <c r="T733" s="411"/>
      <c r="U733" s="411"/>
      <c r="V733" s="411"/>
      <c r="W733" s="411"/>
      <c r="X733" s="411"/>
      <c r="Y733" s="411"/>
      <c r="Z733" s="411"/>
      <c r="AA733" s="411"/>
      <c r="AB733" s="411"/>
      <c r="AC733" s="411"/>
      <c r="AD733" s="411"/>
      <c r="AE733" s="411"/>
      <c r="AF733" s="411"/>
      <c r="AG733" s="411"/>
    </row>
    <row r="734" ht="14.25" customHeight="1">
      <c r="O734" s="411"/>
      <c r="P734" s="411"/>
      <c r="Q734" s="411"/>
      <c r="R734" s="411"/>
      <c r="S734" s="411"/>
      <c r="T734" s="411"/>
      <c r="U734" s="411"/>
      <c r="V734" s="411"/>
      <c r="W734" s="411"/>
      <c r="X734" s="411"/>
      <c r="Y734" s="411"/>
      <c r="Z734" s="411"/>
      <c r="AA734" s="411"/>
      <c r="AB734" s="411"/>
      <c r="AC734" s="411"/>
      <c r="AD734" s="411"/>
      <c r="AE734" s="411"/>
      <c r="AF734" s="411"/>
      <c r="AG734" s="411"/>
    </row>
    <row r="735" ht="14.25" customHeight="1">
      <c r="O735" s="411"/>
      <c r="P735" s="411"/>
      <c r="Q735" s="411"/>
      <c r="R735" s="411"/>
      <c r="S735" s="411"/>
      <c r="T735" s="411"/>
      <c r="U735" s="411"/>
      <c r="V735" s="411"/>
      <c r="W735" s="411"/>
      <c r="X735" s="411"/>
      <c r="Y735" s="411"/>
      <c r="Z735" s="411"/>
      <c r="AA735" s="411"/>
      <c r="AB735" s="411"/>
      <c r="AC735" s="411"/>
      <c r="AD735" s="411"/>
      <c r="AE735" s="411"/>
      <c r="AF735" s="411"/>
      <c r="AG735" s="411"/>
    </row>
    <row r="736" ht="14.25" customHeight="1">
      <c r="O736" s="411"/>
      <c r="P736" s="411"/>
      <c r="Q736" s="411"/>
      <c r="R736" s="411"/>
      <c r="S736" s="411"/>
      <c r="T736" s="411"/>
      <c r="U736" s="411"/>
      <c r="V736" s="411"/>
      <c r="W736" s="411"/>
      <c r="X736" s="411"/>
      <c r="Y736" s="411"/>
      <c r="Z736" s="411"/>
      <c r="AA736" s="411"/>
      <c r="AB736" s="411"/>
      <c r="AC736" s="411"/>
      <c r="AD736" s="411"/>
      <c r="AE736" s="411"/>
      <c r="AF736" s="411"/>
      <c r="AG736" s="411"/>
    </row>
    <row r="737" ht="14.25" customHeight="1">
      <c r="O737" s="411"/>
      <c r="P737" s="411"/>
      <c r="Q737" s="411"/>
      <c r="R737" s="411"/>
      <c r="S737" s="411"/>
      <c r="T737" s="411"/>
      <c r="U737" s="411"/>
      <c r="V737" s="411"/>
      <c r="W737" s="411"/>
      <c r="X737" s="411"/>
      <c r="Y737" s="411"/>
      <c r="Z737" s="411"/>
      <c r="AA737" s="411"/>
      <c r="AB737" s="411"/>
      <c r="AC737" s="411"/>
      <c r="AD737" s="411"/>
      <c r="AE737" s="411"/>
      <c r="AF737" s="411"/>
      <c r="AG737" s="411"/>
    </row>
    <row r="738" ht="14.25" customHeight="1">
      <c r="O738" s="411"/>
      <c r="P738" s="411"/>
      <c r="Q738" s="411"/>
      <c r="R738" s="411"/>
      <c r="S738" s="411"/>
      <c r="T738" s="411"/>
      <c r="U738" s="411"/>
      <c r="V738" s="411"/>
      <c r="W738" s="411"/>
      <c r="X738" s="411"/>
      <c r="Y738" s="411"/>
      <c r="Z738" s="411"/>
      <c r="AA738" s="411"/>
      <c r="AB738" s="411"/>
      <c r="AC738" s="411"/>
      <c r="AD738" s="411"/>
      <c r="AE738" s="411"/>
      <c r="AF738" s="411"/>
      <c r="AG738" s="411"/>
    </row>
    <row r="739" ht="14.25" customHeight="1">
      <c r="O739" s="411"/>
      <c r="P739" s="411"/>
      <c r="Q739" s="411"/>
      <c r="R739" s="411"/>
      <c r="S739" s="411"/>
      <c r="T739" s="411"/>
      <c r="U739" s="411"/>
      <c r="V739" s="411"/>
      <c r="W739" s="411"/>
      <c r="X739" s="411"/>
      <c r="Y739" s="411"/>
      <c r="Z739" s="411"/>
      <c r="AA739" s="411"/>
      <c r="AB739" s="411"/>
      <c r="AC739" s="411"/>
      <c r="AD739" s="411"/>
      <c r="AE739" s="411"/>
      <c r="AF739" s="411"/>
      <c r="AG739" s="411"/>
    </row>
    <row r="740" ht="14.25" customHeight="1">
      <c r="O740" s="411"/>
      <c r="P740" s="411"/>
      <c r="Q740" s="411"/>
      <c r="R740" s="411"/>
      <c r="S740" s="411"/>
      <c r="T740" s="411"/>
      <c r="U740" s="411"/>
      <c r="V740" s="411"/>
      <c r="W740" s="411"/>
      <c r="X740" s="411"/>
      <c r="Y740" s="411"/>
      <c r="Z740" s="411"/>
      <c r="AA740" s="411"/>
      <c r="AB740" s="411"/>
      <c r="AC740" s="411"/>
      <c r="AD740" s="411"/>
      <c r="AE740" s="411"/>
      <c r="AF740" s="411"/>
      <c r="AG740" s="411"/>
    </row>
    <row r="741" ht="14.25" customHeight="1">
      <c r="O741" s="411"/>
      <c r="P741" s="411"/>
      <c r="Q741" s="411"/>
      <c r="R741" s="411"/>
      <c r="S741" s="411"/>
      <c r="T741" s="411"/>
      <c r="U741" s="411"/>
      <c r="V741" s="411"/>
      <c r="W741" s="411"/>
      <c r="X741" s="411"/>
      <c r="Y741" s="411"/>
      <c r="Z741" s="411"/>
      <c r="AA741" s="411"/>
      <c r="AB741" s="411"/>
      <c r="AC741" s="411"/>
      <c r="AD741" s="411"/>
      <c r="AE741" s="411"/>
      <c r="AF741" s="411"/>
      <c r="AG741" s="411"/>
    </row>
    <row r="742" ht="14.25" customHeight="1">
      <c r="O742" s="411"/>
      <c r="P742" s="411"/>
      <c r="Q742" s="411"/>
      <c r="R742" s="411"/>
      <c r="S742" s="411"/>
      <c r="T742" s="411"/>
      <c r="U742" s="411"/>
      <c r="V742" s="411"/>
      <c r="W742" s="411"/>
      <c r="X742" s="411"/>
      <c r="Y742" s="411"/>
      <c r="Z742" s="411"/>
      <c r="AA742" s="411"/>
      <c r="AB742" s="411"/>
      <c r="AC742" s="411"/>
      <c r="AD742" s="411"/>
      <c r="AE742" s="411"/>
      <c r="AF742" s="411"/>
      <c r="AG742" s="411"/>
    </row>
    <row r="743" ht="14.25" customHeight="1">
      <c r="O743" s="411"/>
      <c r="P743" s="411"/>
      <c r="Q743" s="411"/>
      <c r="R743" s="411"/>
      <c r="S743" s="411"/>
      <c r="T743" s="411"/>
      <c r="U743" s="411"/>
      <c r="V743" s="411"/>
      <c r="W743" s="411"/>
      <c r="X743" s="411"/>
      <c r="Y743" s="411"/>
      <c r="Z743" s="411"/>
      <c r="AA743" s="411"/>
      <c r="AB743" s="411"/>
      <c r="AC743" s="411"/>
      <c r="AD743" s="411"/>
      <c r="AE743" s="411"/>
      <c r="AF743" s="411"/>
      <c r="AG743" s="411"/>
    </row>
    <row r="744" ht="14.25" customHeight="1">
      <c r="O744" s="411"/>
      <c r="P744" s="411"/>
      <c r="Q744" s="411"/>
      <c r="R744" s="411"/>
      <c r="S744" s="411"/>
      <c r="T744" s="411"/>
      <c r="U744" s="411"/>
      <c r="V744" s="411"/>
      <c r="W744" s="411"/>
      <c r="X744" s="411"/>
      <c r="Y744" s="411"/>
      <c r="Z744" s="411"/>
      <c r="AA744" s="411"/>
      <c r="AB744" s="411"/>
      <c r="AC744" s="411"/>
      <c r="AD744" s="411"/>
      <c r="AE744" s="411"/>
      <c r="AF744" s="411"/>
      <c r="AG744" s="411"/>
    </row>
    <row r="745" ht="14.25" customHeight="1">
      <c r="O745" s="411"/>
      <c r="P745" s="411"/>
      <c r="Q745" s="411"/>
      <c r="R745" s="411"/>
      <c r="S745" s="411"/>
      <c r="T745" s="411"/>
      <c r="U745" s="411"/>
      <c r="V745" s="411"/>
      <c r="W745" s="411"/>
      <c r="X745" s="411"/>
      <c r="Y745" s="411"/>
      <c r="Z745" s="411"/>
      <c r="AA745" s="411"/>
      <c r="AB745" s="411"/>
      <c r="AC745" s="411"/>
      <c r="AD745" s="411"/>
      <c r="AE745" s="411"/>
      <c r="AF745" s="411"/>
      <c r="AG745" s="411"/>
    </row>
    <row r="746" ht="14.25" customHeight="1">
      <c r="O746" s="411"/>
      <c r="P746" s="411"/>
      <c r="Q746" s="411"/>
      <c r="R746" s="411"/>
      <c r="S746" s="411"/>
      <c r="T746" s="411"/>
      <c r="U746" s="411"/>
      <c r="V746" s="411"/>
      <c r="W746" s="411"/>
      <c r="X746" s="411"/>
      <c r="Y746" s="411"/>
      <c r="Z746" s="411"/>
      <c r="AA746" s="411"/>
      <c r="AB746" s="411"/>
      <c r="AC746" s="411"/>
      <c r="AD746" s="411"/>
      <c r="AE746" s="411"/>
      <c r="AF746" s="411"/>
      <c r="AG746" s="411"/>
    </row>
    <row r="747" ht="14.25" customHeight="1">
      <c r="O747" s="411"/>
      <c r="P747" s="411"/>
      <c r="Q747" s="411"/>
      <c r="R747" s="411"/>
      <c r="S747" s="411"/>
      <c r="T747" s="411"/>
      <c r="U747" s="411"/>
      <c r="V747" s="411"/>
      <c r="W747" s="411"/>
      <c r="X747" s="411"/>
      <c r="Y747" s="411"/>
      <c r="Z747" s="411"/>
      <c r="AA747" s="411"/>
      <c r="AB747" s="411"/>
      <c r="AC747" s="411"/>
      <c r="AD747" s="411"/>
      <c r="AE747" s="411"/>
      <c r="AF747" s="411"/>
      <c r="AG747" s="411"/>
    </row>
    <row r="748" ht="14.25" customHeight="1">
      <c r="O748" s="411"/>
      <c r="P748" s="411"/>
      <c r="Q748" s="411"/>
      <c r="R748" s="411"/>
      <c r="S748" s="411"/>
      <c r="T748" s="411"/>
      <c r="U748" s="411"/>
      <c r="V748" s="411"/>
      <c r="W748" s="411"/>
      <c r="X748" s="411"/>
      <c r="Y748" s="411"/>
      <c r="Z748" s="411"/>
      <c r="AA748" s="411"/>
      <c r="AB748" s="411"/>
      <c r="AC748" s="411"/>
      <c r="AD748" s="411"/>
      <c r="AE748" s="411"/>
      <c r="AF748" s="411"/>
      <c r="AG748" s="411"/>
    </row>
    <row r="749" ht="14.25" customHeight="1">
      <c r="O749" s="411"/>
      <c r="P749" s="411"/>
      <c r="Q749" s="411"/>
      <c r="R749" s="411"/>
      <c r="S749" s="411"/>
      <c r="T749" s="411"/>
      <c r="U749" s="411"/>
      <c r="V749" s="411"/>
      <c r="W749" s="411"/>
      <c r="X749" s="411"/>
      <c r="Y749" s="411"/>
      <c r="Z749" s="411"/>
      <c r="AA749" s="411"/>
      <c r="AB749" s="411"/>
      <c r="AC749" s="411"/>
      <c r="AD749" s="411"/>
      <c r="AE749" s="411"/>
      <c r="AF749" s="411"/>
      <c r="AG749" s="411"/>
    </row>
    <row r="750" ht="14.25" customHeight="1">
      <c r="O750" s="411"/>
      <c r="P750" s="411"/>
      <c r="Q750" s="411"/>
      <c r="R750" s="411"/>
      <c r="S750" s="411"/>
      <c r="T750" s="411"/>
      <c r="U750" s="411"/>
      <c r="V750" s="411"/>
      <c r="W750" s="411"/>
      <c r="X750" s="411"/>
      <c r="Y750" s="411"/>
      <c r="Z750" s="411"/>
      <c r="AA750" s="411"/>
      <c r="AB750" s="411"/>
      <c r="AC750" s="411"/>
      <c r="AD750" s="411"/>
      <c r="AE750" s="411"/>
      <c r="AF750" s="411"/>
      <c r="AG750" s="411"/>
    </row>
    <row r="751" ht="14.25" customHeight="1">
      <c r="O751" s="411"/>
      <c r="P751" s="411"/>
      <c r="Q751" s="411"/>
      <c r="R751" s="411"/>
      <c r="S751" s="411"/>
      <c r="T751" s="411"/>
      <c r="U751" s="411"/>
      <c r="V751" s="411"/>
      <c r="W751" s="411"/>
      <c r="X751" s="411"/>
      <c r="Y751" s="411"/>
      <c r="Z751" s="411"/>
      <c r="AA751" s="411"/>
      <c r="AB751" s="411"/>
      <c r="AC751" s="411"/>
      <c r="AD751" s="411"/>
      <c r="AE751" s="411"/>
      <c r="AF751" s="411"/>
      <c r="AG751" s="411"/>
    </row>
    <row r="752" ht="14.25" customHeight="1">
      <c r="O752" s="411"/>
      <c r="P752" s="411"/>
      <c r="Q752" s="411"/>
      <c r="R752" s="411"/>
      <c r="S752" s="411"/>
      <c r="T752" s="411"/>
      <c r="U752" s="411"/>
      <c r="V752" s="411"/>
      <c r="W752" s="411"/>
      <c r="X752" s="411"/>
      <c r="Y752" s="411"/>
      <c r="Z752" s="411"/>
      <c r="AA752" s="411"/>
      <c r="AB752" s="411"/>
      <c r="AC752" s="411"/>
      <c r="AD752" s="411"/>
      <c r="AE752" s="411"/>
      <c r="AF752" s="411"/>
      <c r="AG752" s="411"/>
    </row>
    <row r="753" ht="14.25" customHeight="1">
      <c r="O753" s="411"/>
      <c r="P753" s="411"/>
      <c r="Q753" s="411"/>
      <c r="R753" s="411"/>
      <c r="S753" s="411"/>
      <c r="T753" s="411"/>
      <c r="U753" s="411"/>
      <c r="V753" s="411"/>
      <c r="W753" s="411"/>
      <c r="X753" s="411"/>
      <c r="Y753" s="411"/>
      <c r="Z753" s="411"/>
      <c r="AA753" s="411"/>
      <c r="AB753" s="411"/>
      <c r="AC753" s="411"/>
      <c r="AD753" s="411"/>
      <c r="AE753" s="411"/>
      <c r="AF753" s="411"/>
      <c r="AG753" s="411"/>
    </row>
    <row r="754" ht="14.25" customHeight="1">
      <c r="O754" s="411"/>
      <c r="P754" s="411"/>
      <c r="Q754" s="411"/>
      <c r="R754" s="411"/>
      <c r="S754" s="411"/>
      <c r="T754" s="411"/>
      <c r="U754" s="411"/>
      <c r="V754" s="411"/>
      <c r="W754" s="411"/>
      <c r="X754" s="411"/>
      <c r="Y754" s="411"/>
      <c r="Z754" s="411"/>
      <c r="AA754" s="411"/>
      <c r="AB754" s="411"/>
      <c r="AC754" s="411"/>
      <c r="AD754" s="411"/>
      <c r="AE754" s="411"/>
      <c r="AF754" s="411"/>
      <c r="AG754" s="411"/>
    </row>
    <row r="755" ht="14.25" customHeight="1">
      <c r="O755" s="411"/>
      <c r="P755" s="411"/>
      <c r="Q755" s="411"/>
      <c r="R755" s="411"/>
      <c r="S755" s="411"/>
      <c r="T755" s="411"/>
      <c r="U755" s="411"/>
      <c r="V755" s="411"/>
      <c r="W755" s="411"/>
      <c r="X755" s="411"/>
      <c r="Y755" s="411"/>
      <c r="Z755" s="411"/>
      <c r="AA755" s="411"/>
      <c r="AB755" s="411"/>
      <c r="AC755" s="411"/>
      <c r="AD755" s="411"/>
      <c r="AE755" s="411"/>
      <c r="AF755" s="411"/>
      <c r="AG755" s="411"/>
    </row>
    <row r="756" ht="14.25" customHeight="1">
      <c r="O756" s="411"/>
      <c r="P756" s="411"/>
      <c r="Q756" s="411"/>
      <c r="R756" s="411"/>
      <c r="S756" s="411"/>
      <c r="T756" s="411"/>
      <c r="U756" s="411"/>
      <c r="V756" s="411"/>
      <c r="W756" s="411"/>
      <c r="X756" s="411"/>
      <c r="Y756" s="411"/>
      <c r="Z756" s="411"/>
      <c r="AA756" s="411"/>
      <c r="AB756" s="411"/>
      <c r="AC756" s="411"/>
      <c r="AD756" s="411"/>
      <c r="AE756" s="411"/>
      <c r="AF756" s="411"/>
      <c r="AG756" s="411"/>
    </row>
    <row r="757" ht="14.25" customHeight="1">
      <c r="O757" s="411"/>
      <c r="P757" s="411"/>
      <c r="Q757" s="411"/>
      <c r="R757" s="411"/>
      <c r="S757" s="411"/>
      <c r="T757" s="411"/>
      <c r="U757" s="411"/>
      <c r="V757" s="411"/>
      <c r="W757" s="411"/>
      <c r="X757" s="411"/>
      <c r="Y757" s="411"/>
      <c r="Z757" s="411"/>
      <c r="AA757" s="411"/>
      <c r="AB757" s="411"/>
      <c r="AC757" s="411"/>
      <c r="AD757" s="411"/>
      <c r="AE757" s="411"/>
      <c r="AF757" s="411"/>
      <c r="AG757" s="411"/>
    </row>
    <row r="758" ht="14.25" customHeight="1">
      <c r="O758" s="411"/>
      <c r="P758" s="411"/>
      <c r="Q758" s="411"/>
      <c r="R758" s="411"/>
      <c r="S758" s="411"/>
      <c r="T758" s="411"/>
      <c r="U758" s="411"/>
      <c r="V758" s="411"/>
      <c r="W758" s="411"/>
      <c r="X758" s="411"/>
      <c r="Y758" s="411"/>
      <c r="Z758" s="411"/>
      <c r="AA758" s="411"/>
      <c r="AB758" s="411"/>
      <c r="AC758" s="411"/>
      <c r="AD758" s="411"/>
      <c r="AE758" s="411"/>
      <c r="AF758" s="411"/>
      <c r="AG758" s="411"/>
    </row>
    <row r="759" ht="14.25" customHeight="1">
      <c r="O759" s="411"/>
      <c r="P759" s="411"/>
      <c r="Q759" s="411"/>
      <c r="R759" s="411"/>
      <c r="S759" s="411"/>
      <c r="T759" s="411"/>
      <c r="U759" s="411"/>
      <c r="V759" s="411"/>
      <c r="W759" s="411"/>
      <c r="X759" s="411"/>
      <c r="Y759" s="411"/>
      <c r="Z759" s="411"/>
      <c r="AA759" s="411"/>
      <c r="AB759" s="411"/>
      <c r="AC759" s="411"/>
      <c r="AD759" s="411"/>
      <c r="AE759" s="411"/>
      <c r="AF759" s="411"/>
      <c r="AG759" s="411"/>
    </row>
    <row r="760" ht="14.25" customHeight="1">
      <c r="O760" s="411"/>
      <c r="P760" s="411"/>
      <c r="Q760" s="411"/>
      <c r="R760" s="411"/>
      <c r="S760" s="411"/>
      <c r="T760" s="411"/>
      <c r="U760" s="411"/>
      <c r="V760" s="411"/>
      <c r="W760" s="411"/>
      <c r="X760" s="411"/>
      <c r="Y760" s="411"/>
      <c r="Z760" s="411"/>
      <c r="AA760" s="411"/>
      <c r="AB760" s="411"/>
      <c r="AC760" s="411"/>
      <c r="AD760" s="411"/>
      <c r="AE760" s="411"/>
      <c r="AF760" s="411"/>
      <c r="AG760" s="411"/>
    </row>
    <row r="761" ht="14.25" customHeight="1">
      <c r="O761" s="411"/>
      <c r="P761" s="411"/>
      <c r="Q761" s="411"/>
      <c r="R761" s="411"/>
      <c r="S761" s="411"/>
      <c r="T761" s="411"/>
      <c r="U761" s="411"/>
      <c r="V761" s="411"/>
      <c r="W761" s="411"/>
      <c r="X761" s="411"/>
      <c r="Y761" s="411"/>
      <c r="Z761" s="411"/>
      <c r="AA761" s="411"/>
      <c r="AB761" s="411"/>
      <c r="AC761" s="411"/>
      <c r="AD761" s="411"/>
      <c r="AE761" s="411"/>
      <c r="AF761" s="411"/>
      <c r="AG761" s="411"/>
    </row>
    <row r="762" ht="14.25" customHeight="1">
      <c r="O762" s="411"/>
      <c r="P762" s="411"/>
      <c r="Q762" s="411"/>
      <c r="R762" s="411"/>
      <c r="S762" s="411"/>
      <c r="T762" s="411"/>
      <c r="U762" s="411"/>
      <c r="V762" s="411"/>
      <c r="W762" s="411"/>
      <c r="X762" s="411"/>
      <c r="Y762" s="411"/>
      <c r="Z762" s="411"/>
      <c r="AA762" s="411"/>
      <c r="AB762" s="411"/>
      <c r="AC762" s="411"/>
      <c r="AD762" s="411"/>
      <c r="AE762" s="411"/>
      <c r="AF762" s="411"/>
      <c r="AG762" s="411"/>
    </row>
    <row r="763" ht="14.25" customHeight="1">
      <c r="O763" s="411"/>
      <c r="P763" s="411"/>
      <c r="Q763" s="411"/>
      <c r="R763" s="411"/>
      <c r="S763" s="411"/>
      <c r="T763" s="411"/>
      <c r="U763" s="411"/>
      <c r="V763" s="411"/>
      <c r="W763" s="411"/>
      <c r="X763" s="411"/>
      <c r="Y763" s="411"/>
      <c r="Z763" s="411"/>
      <c r="AA763" s="411"/>
      <c r="AB763" s="411"/>
      <c r="AC763" s="411"/>
      <c r="AD763" s="411"/>
      <c r="AE763" s="411"/>
      <c r="AF763" s="411"/>
      <c r="AG763" s="411"/>
    </row>
    <row r="764" ht="14.25" customHeight="1">
      <c r="O764" s="411"/>
      <c r="P764" s="411"/>
      <c r="Q764" s="411"/>
      <c r="R764" s="411"/>
      <c r="S764" s="411"/>
      <c r="T764" s="411"/>
      <c r="U764" s="411"/>
      <c r="V764" s="411"/>
      <c r="W764" s="411"/>
      <c r="X764" s="411"/>
      <c r="Y764" s="411"/>
      <c r="Z764" s="411"/>
      <c r="AA764" s="411"/>
      <c r="AB764" s="411"/>
      <c r="AC764" s="411"/>
      <c r="AD764" s="411"/>
      <c r="AE764" s="411"/>
      <c r="AF764" s="411"/>
      <c r="AG764" s="411"/>
    </row>
    <row r="765" ht="14.25" customHeight="1">
      <c r="O765" s="411"/>
      <c r="P765" s="411"/>
      <c r="Q765" s="411"/>
      <c r="R765" s="411"/>
      <c r="S765" s="411"/>
      <c r="T765" s="411"/>
      <c r="U765" s="411"/>
      <c r="V765" s="411"/>
      <c r="W765" s="411"/>
      <c r="X765" s="411"/>
      <c r="Y765" s="411"/>
      <c r="Z765" s="411"/>
      <c r="AA765" s="411"/>
      <c r="AB765" s="411"/>
      <c r="AC765" s="411"/>
      <c r="AD765" s="411"/>
      <c r="AE765" s="411"/>
      <c r="AF765" s="411"/>
      <c r="AG765" s="411"/>
    </row>
    <row r="766" ht="14.25" customHeight="1">
      <c r="O766" s="411"/>
      <c r="P766" s="411"/>
      <c r="Q766" s="411"/>
      <c r="R766" s="411"/>
      <c r="S766" s="411"/>
      <c r="T766" s="411"/>
      <c r="U766" s="411"/>
      <c r="V766" s="411"/>
      <c r="W766" s="411"/>
      <c r="X766" s="411"/>
      <c r="Y766" s="411"/>
      <c r="Z766" s="411"/>
      <c r="AA766" s="411"/>
      <c r="AB766" s="411"/>
      <c r="AC766" s="411"/>
      <c r="AD766" s="411"/>
      <c r="AE766" s="411"/>
      <c r="AF766" s="411"/>
      <c r="AG766" s="411"/>
    </row>
    <row r="767" ht="14.25" customHeight="1">
      <c r="O767" s="411"/>
      <c r="P767" s="411"/>
      <c r="Q767" s="411"/>
      <c r="R767" s="411"/>
      <c r="S767" s="411"/>
      <c r="T767" s="411"/>
      <c r="U767" s="411"/>
      <c r="V767" s="411"/>
      <c r="W767" s="411"/>
      <c r="X767" s="411"/>
      <c r="Y767" s="411"/>
      <c r="Z767" s="411"/>
      <c r="AA767" s="411"/>
      <c r="AB767" s="411"/>
      <c r="AC767" s="411"/>
      <c r="AD767" s="411"/>
      <c r="AE767" s="411"/>
      <c r="AF767" s="411"/>
      <c r="AG767" s="411"/>
    </row>
    <row r="768" ht="14.25" customHeight="1">
      <c r="O768" s="411"/>
      <c r="P768" s="411"/>
      <c r="Q768" s="411"/>
      <c r="R768" s="411"/>
      <c r="S768" s="411"/>
      <c r="T768" s="411"/>
      <c r="U768" s="411"/>
      <c r="V768" s="411"/>
      <c r="W768" s="411"/>
      <c r="X768" s="411"/>
      <c r="Y768" s="411"/>
      <c r="Z768" s="411"/>
      <c r="AA768" s="411"/>
      <c r="AB768" s="411"/>
      <c r="AC768" s="411"/>
      <c r="AD768" s="411"/>
      <c r="AE768" s="411"/>
      <c r="AF768" s="411"/>
      <c r="AG768" s="411"/>
    </row>
    <row r="769" ht="14.25" customHeight="1">
      <c r="O769" s="411"/>
      <c r="P769" s="411"/>
      <c r="Q769" s="411"/>
      <c r="R769" s="411"/>
      <c r="S769" s="411"/>
      <c r="T769" s="411"/>
      <c r="U769" s="411"/>
      <c r="V769" s="411"/>
      <c r="W769" s="411"/>
      <c r="X769" s="411"/>
      <c r="Y769" s="411"/>
      <c r="Z769" s="411"/>
      <c r="AA769" s="411"/>
      <c r="AB769" s="411"/>
      <c r="AC769" s="411"/>
      <c r="AD769" s="411"/>
      <c r="AE769" s="411"/>
      <c r="AF769" s="411"/>
      <c r="AG769" s="411"/>
    </row>
    <row r="770" ht="14.25" customHeight="1">
      <c r="O770" s="411"/>
      <c r="P770" s="411"/>
      <c r="Q770" s="411"/>
      <c r="R770" s="411"/>
      <c r="S770" s="411"/>
      <c r="T770" s="411"/>
      <c r="U770" s="411"/>
      <c r="V770" s="411"/>
      <c r="W770" s="411"/>
      <c r="X770" s="411"/>
      <c r="Y770" s="411"/>
      <c r="Z770" s="411"/>
      <c r="AA770" s="411"/>
      <c r="AB770" s="411"/>
      <c r="AC770" s="411"/>
      <c r="AD770" s="411"/>
      <c r="AE770" s="411"/>
      <c r="AF770" s="411"/>
      <c r="AG770" s="411"/>
    </row>
    <row r="771" ht="14.25" customHeight="1">
      <c r="O771" s="411"/>
      <c r="P771" s="411"/>
      <c r="Q771" s="411"/>
      <c r="R771" s="411"/>
      <c r="S771" s="411"/>
      <c r="T771" s="411"/>
      <c r="U771" s="411"/>
      <c r="V771" s="411"/>
      <c r="W771" s="411"/>
      <c r="X771" s="411"/>
      <c r="Y771" s="411"/>
      <c r="Z771" s="411"/>
      <c r="AA771" s="411"/>
      <c r="AB771" s="411"/>
      <c r="AC771" s="411"/>
      <c r="AD771" s="411"/>
      <c r="AE771" s="411"/>
      <c r="AF771" s="411"/>
      <c r="AG771" s="411"/>
    </row>
    <row r="772" ht="14.25" customHeight="1">
      <c r="O772" s="411"/>
      <c r="P772" s="411"/>
      <c r="Q772" s="411"/>
      <c r="R772" s="411"/>
      <c r="S772" s="411"/>
      <c r="T772" s="411"/>
      <c r="U772" s="411"/>
      <c r="V772" s="411"/>
      <c r="W772" s="411"/>
      <c r="X772" s="411"/>
      <c r="Y772" s="411"/>
      <c r="Z772" s="411"/>
      <c r="AA772" s="411"/>
      <c r="AB772" s="411"/>
      <c r="AC772" s="411"/>
      <c r="AD772" s="411"/>
      <c r="AE772" s="411"/>
      <c r="AF772" s="411"/>
      <c r="AG772" s="411"/>
    </row>
    <row r="773" ht="14.25" customHeight="1">
      <c r="O773" s="411"/>
      <c r="P773" s="411"/>
      <c r="Q773" s="411"/>
      <c r="R773" s="411"/>
      <c r="S773" s="411"/>
      <c r="T773" s="411"/>
      <c r="U773" s="411"/>
      <c r="V773" s="411"/>
      <c r="W773" s="411"/>
      <c r="X773" s="411"/>
      <c r="Y773" s="411"/>
      <c r="Z773" s="411"/>
      <c r="AA773" s="411"/>
      <c r="AB773" s="411"/>
      <c r="AC773" s="411"/>
      <c r="AD773" s="411"/>
      <c r="AE773" s="411"/>
      <c r="AF773" s="411"/>
      <c r="AG773" s="411"/>
    </row>
    <row r="774" ht="14.25" customHeight="1">
      <c r="O774" s="411"/>
      <c r="P774" s="411"/>
      <c r="Q774" s="411"/>
      <c r="R774" s="411"/>
      <c r="S774" s="411"/>
      <c r="T774" s="411"/>
      <c r="U774" s="411"/>
      <c r="V774" s="411"/>
      <c r="W774" s="411"/>
      <c r="X774" s="411"/>
      <c r="Y774" s="411"/>
      <c r="Z774" s="411"/>
      <c r="AA774" s="411"/>
      <c r="AB774" s="411"/>
      <c r="AC774" s="411"/>
      <c r="AD774" s="411"/>
      <c r="AE774" s="411"/>
      <c r="AF774" s="411"/>
      <c r="AG774" s="411"/>
    </row>
    <row r="775" ht="14.25" customHeight="1">
      <c r="O775" s="411"/>
      <c r="P775" s="411"/>
      <c r="Q775" s="411"/>
      <c r="R775" s="411"/>
      <c r="S775" s="411"/>
      <c r="T775" s="411"/>
      <c r="U775" s="411"/>
      <c r="V775" s="411"/>
      <c r="W775" s="411"/>
      <c r="X775" s="411"/>
      <c r="Y775" s="411"/>
      <c r="Z775" s="411"/>
      <c r="AA775" s="411"/>
      <c r="AB775" s="411"/>
      <c r="AC775" s="411"/>
      <c r="AD775" s="411"/>
      <c r="AE775" s="411"/>
      <c r="AF775" s="411"/>
      <c r="AG775" s="411"/>
    </row>
    <row r="776" ht="14.25" customHeight="1">
      <c r="O776" s="411"/>
      <c r="P776" s="411"/>
      <c r="Q776" s="411"/>
      <c r="R776" s="411"/>
      <c r="S776" s="411"/>
      <c r="T776" s="411"/>
      <c r="U776" s="411"/>
      <c r="V776" s="411"/>
      <c r="W776" s="411"/>
      <c r="X776" s="411"/>
      <c r="Y776" s="411"/>
      <c r="Z776" s="411"/>
      <c r="AA776" s="411"/>
      <c r="AB776" s="411"/>
      <c r="AC776" s="411"/>
      <c r="AD776" s="411"/>
      <c r="AE776" s="411"/>
      <c r="AF776" s="411"/>
      <c r="AG776" s="411"/>
    </row>
    <row r="777" ht="14.25" customHeight="1">
      <c r="O777" s="411"/>
      <c r="P777" s="411"/>
      <c r="Q777" s="411"/>
      <c r="R777" s="411"/>
      <c r="S777" s="411"/>
      <c r="T777" s="411"/>
      <c r="U777" s="411"/>
      <c r="V777" s="411"/>
      <c r="W777" s="411"/>
      <c r="X777" s="411"/>
      <c r="Y777" s="411"/>
      <c r="Z777" s="411"/>
      <c r="AA777" s="411"/>
      <c r="AB777" s="411"/>
      <c r="AC777" s="411"/>
      <c r="AD777" s="411"/>
      <c r="AE777" s="411"/>
      <c r="AF777" s="411"/>
      <c r="AG777" s="411"/>
    </row>
    <row r="778" ht="14.25" customHeight="1">
      <c r="O778" s="411"/>
      <c r="P778" s="411"/>
      <c r="Q778" s="411"/>
      <c r="R778" s="411"/>
      <c r="S778" s="411"/>
      <c r="T778" s="411"/>
      <c r="U778" s="411"/>
      <c r="V778" s="411"/>
      <c r="W778" s="411"/>
      <c r="X778" s="411"/>
      <c r="Y778" s="411"/>
      <c r="Z778" s="411"/>
      <c r="AA778" s="411"/>
      <c r="AB778" s="411"/>
      <c r="AC778" s="411"/>
      <c r="AD778" s="411"/>
      <c r="AE778" s="411"/>
      <c r="AF778" s="411"/>
      <c r="AG778" s="411"/>
    </row>
    <row r="779" ht="14.25" customHeight="1">
      <c r="O779" s="411"/>
      <c r="P779" s="411"/>
      <c r="Q779" s="411"/>
      <c r="R779" s="411"/>
      <c r="S779" s="411"/>
      <c r="T779" s="411"/>
      <c r="U779" s="411"/>
      <c r="V779" s="411"/>
      <c r="W779" s="411"/>
      <c r="X779" s="411"/>
      <c r="Y779" s="411"/>
      <c r="Z779" s="411"/>
      <c r="AA779" s="411"/>
      <c r="AB779" s="411"/>
      <c r="AC779" s="411"/>
      <c r="AD779" s="411"/>
      <c r="AE779" s="411"/>
      <c r="AF779" s="411"/>
      <c r="AG779" s="411"/>
    </row>
    <row r="780" ht="14.25" customHeight="1">
      <c r="O780" s="411"/>
      <c r="P780" s="411"/>
      <c r="Q780" s="411"/>
      <c r="R780" s="411"/>
      <c r="S780" s="411"/>
      <c r="T780" s="411"/>
      <c r="U780" s="411"/>
      <c r="V780" s="411"/>
      <c r="W780" s="411"/>
      <c r="X780" s="411"/>
      <c r="Y780" s="411"/>
      <c r="Z780" s="411"/>
      <c r="AA780" s="411"/>
      <c r="AB780" s="411"/>
      <c r="AC780" s="411"/>
      <c r="AD780" s="411"/>
      <c r="AE780" s="411"/>
      <c r="AF780" s="411"/>
      <c r="AG780" s="411"/>
    </row>
    <row r="781" ht="14.25" customHeight="1">
      <c r="O781" s="411"/>
      <c r="P781" s="411"/>
      <c r="Q781" s="411"/>
      <c r="R781" s="411"/>
      <c r="S781" s="411"/>
      <c r="T781" s="411"/>
      <c r="U781" s="411"/>
      <c r="V781" s="411"/>
      <c r="W781" s="411"/>
      <c r="X781" s="411"/>
      <c r="Y781" s="411"/>
      <c r="Z781" s="411"/>
      <c r="AA781" s="411"/>
      <c r="AB781" s="411"/>
      <c r="AC781" s="411"/>
      <c r="AD781" s="411"/>
      <c r="AE781" s="411"/>
      <c r="AF781" s="411"/>
      <c r="AG781" s="411"/>
    </row>
    <row r="782" ht="14.25" customHeight="1">
      <c r="O782" s="411"/>
      <c r="P782" s="411"/>
      <c r="Q782" s="411"/>
      <c r="R782" s="411"/>
      <c r="S782" s="411"/>
      <c r="T782" s="411"/>
      <c r="U782" s="411"/>
      <c r="V782" s="411"/>
      <c r="W782" s="411"/>
      <c r="X782" s="411"/>
      <c r="Y782" s="411"/>
      <c r="Z782" s="411"/>
      <c r="AA782" s="411"/>
      <c r="AB782" s="411"/>
      <c r="AC782" s="411"/>
      <c r="AD782" s="411"/>
      <c r="AE782" s="411"/>
      <c r="AF782" s="411"/>
      <c r="AG782" s="411"/>
    </row>
    <row r="783" ht="14.25" customHeight="1">
      <c r="O783" s="411"/>
      <c r="P783" s="411"/>
      <c r="Q783" s="411"/>
      <c r="R783" s="411"/>
      <c r="S783" s="411"/>
      <c r="T783" s="411"/>
      <c r="U783" s="411"/>
      <c r="V783" s="411"/>
      <c r="W783" s="411"/>
      <c r="X783" s="411"/>
      <c r="Y783" s="411"/>
      <c r="Z783" s="411"/>
      <c r="AA783" s="411"/>
      <c r="AB783" s="411"/>
      <c r="AC783" s="411"/>
      <c r="AD783" s="411"/>
      <c r="AE783" s="411"/>
      <c r="AF783" s="411"/>
      <c r="AG783" s="411"/>
    </row>
    <row r="784" ht="14.25" customHeight="1">
      <c r="O784" s="411"/>
      <c r="P784" s="411"/>
      <c r="Q784" s="411"/>
      <c r="R784" s="411"/>
      <c r="S784" s="411"/>
      <c r="T784" s="411"/>
      <c r="U784" s="411"/>
      <c r="V784" s="411"/>
      <c r="W784" s="411"/>
      <c r="X784" s="411"/>
      <c r="Y784" s="411"/>
      <c r="Z784" s="411"/>
      <c r="AA784" s="411"/>
      <c r="AB784" s="411"/>
      <c r="AC784" s="411"/>
      <c r="AD784" s="411"/>
      <c r="AE784" s="411"/>
      <c r="AF784" s="411"/>
      <c r="AG784" s="411"/>
    </row>
    <row r="785" ht="14.25" customHeight="1">
      <c r="O785" s="411"/>
      <c r="P785" s="411"/>
      <c r="Q785" s="411"/>
      <c r="R785" s="411"/>
      <c r="S785" s="411"/>
      <c r="T785" s="411"/>
      <c r="U785" s="411"/>
      <c r="V785" s="411"/>
      <c r="W785" s="411"/>
      <c r="X785" s="411"/>
      <c r="Y785" s="411"/>
      <c r="Z785" s="411"/>
      <c r="AA785" s="411"/>
      <c r="AB785" s="411"/>
      <c r="AC785" s="411"/>
      <c r="AD785" s="411"/>
      <c r="AE785" s="411"/>
      <c r="AF785" s="411"/>
      <c r="AG785" s="411"/>
    </row>
    <row r="786" ht="14.25" customHeight="1">
      <c r="O786" s="411"/>
      <c r="P786" s="411"/>
      <c r="Q786" s="411"/>
      <c r="R786" s="411"/>
      <c r="S786" s="411"/>
      <c r="T786" s="411"/>
      <c r="U786" s="411"/>
      <c r="V786" s="411"/>
      <c r="W786" s="411"/>
      <c r="X786" s="411"/>
      <c r="Y786" s="411"/>
      <c r="Z786" s="411"/>
      <c r="AA786" s="411"/>
      <c r="AB786" s="411"/>
      <c r="AC786" s="411"/>
      <c r="AD786" s="411"/>
      <c r="AE786" s="411"/>
      <c r="AF786" s="411"/>
      <c r="AG786" s="411"/>
    </row>
    <row r="787" ht="14.25" customHeight="1">
      <c r="O787" s="411"/>
      <c r="P787" s="411"/>
      <c r="Q787" s="411"/>
      <c r="R787" s="411"/>
      <c r="S787" s="411"/>
      <c r="T787" s="411"/>
      <c r="U787" s="411"/>
      <c r="V787" s="411"/>
      <c r="W787" s="411"/>
      <c r="X787" s="411"/>
      <c r="Y787" s="411"/>
      <c r="Z787" s="411"/>
      <c r="AA787" s="411"/>
      <c r="AB787" s="411"/>
      <c r="AC787" s="411"/>
      <c r="AD787" s="411"/>
      <c r="AE787" s="411"/>
      <c r="AF787" s="411"/>
      <c r="AG787" s="411"/>
    </row>
    <row r="788" ht="14.25" customHeight="1">
      <c r="O788" s="411"/>
      <c r="P788" s="411"/>
      <c r="Q788" s="411"/>
      <c r="R788" s="411"/>
      <c r="S788" s="411"/>
      <c r="T788" s="411"/>
      <c r="U788" s="411"/>
      <c r="V788" s="411"/>
      <c r="W788" s="411"/>
      <c r="X788" s="411"/>
      <c r="Y788" s="411"/>
      <c r="Z788" s="411"/>
      <c r="AA788" s="411"/>
      <c r="AB788" s="411"/>
      <c r="AC788" s="411"/>
      <c r="AD788" s="411"/>
      <c r="AE788" s="411"/>
      <c r="AF788" s="411"/>
      <c r="AG788" s="411"/>
    </row>
    <row r="789" ht="14.25" customHeight="1">
      <c r="O789" s="411"/>
      <c r="P789" s="411"/>
      <c r="Q789" s="411"/>
      <c r="R789" s="411"/>
      <c r="S789" s="411"/>
      <c r="T789" s="411"/>
      <c r="U789" s="411"/>
      <c r="V789" s="411"/>
      <c r="W789" s="411"/>
      <c r="X789" s="411"/>
      <c r="Y789" s="411"/>
      <c r="Z789" s="411"/>
      <c r="AA789" s="411"/>
      <c r="AB789" s="411"/>
      <c r="AC789" s="411"/>
      <c r="AD789" s="411"/>
      <c r="AE789" s="411"/>
      <c r="AF789" s="411"/>
      <c r="AG789" s="411"/>
    </row>
    <row r="790" ht="14.25" customHeight="1">
      <c r="O790" s="411"/>
      <c r="P790" s="411"/>
      <c r="Q790" s="411"/>
      <c r="R790" s="411"/>
      <c r="S790" s="411"/>
      <c r="T790" s="411"/>
      <c r="U790" s="411"/>
      <c r="V790" s="411"/>
      <c r="W790" s="411"/>
      <c r="X790" s="411"/>
      <c r="Y790" s="411"/>
      <c r="Z790" s="411"/>
      <c r="AA790" s="411"/>
      <c r="AB790" s="411"/>
      <c r="AC790" s="411"/>
      <c r="AD790" s="411"/>
      <c r="AE790" s="411"/>
      <c r="AF790" s="411"/>
      <c r="AG790" s="411"/>
    </row>
    <row r="791" ht="14.25" customHeight="1">
      <c r="O791" s="411"/>
      <c r="P791" s="411"/>
      <c r="Q791" s="411"/>
      <c r="R791" s="411"/>
      <c r="S791" s="411"/>
      <c r="T791" s="411"/>
      <c r="U791" s="411"/>
      <c r="V791" s="411"/>
      <c r="W791" s="411"/>
      <c r="X791" s="411"/>
      <c r="Y791" s="411"/>
      <c r="Z791" s="411"/>
      <c r="AA791" s="411"/>
      <c r="AB791" s="411"/>
      <c r="AC791" s="411"/>
      <c r="AD791" s="411"/>
      <c r="AE791" s="411"/>
      <c r="AF791" s="411"/>
      <c r="AG791" s="411"/>
    </row>
    <row r="792" ht="14.25" customHeight="1">
      <c r="O792" s="411"/>
      <c r="P792" s="411"/>
      <c r="Q792" s="411"/>
      <c r="R792" s="411"/>
      <c r="S792" s="411"/>
      <c r="T792" s="411"/>
      <c r="U792" s="411"/>
      <c r="V792" s="411"/>
      <c r="W792" s="411"/>
      <c r="X792" s="411"/>
      <c r="Y792" s="411"/>
      <c r="Z792" s="411"/>
      <c r="AA792" s="411"/>
      <c r="AB792" s="411"/>
      <c r="AC792" s="411"/>
      <c r="AD792" s="411"/>
      <c r="AE792" s="411"/>
      <c r="AF792" s="411"/>
      <c r="AG792" s="411"/>
    </row>
    <row r="793" ht="14.25" customHeight="1">
      <c r="O793" s="411"/>
      <c r="P793" s="411"/>
      <c r="Q793" s="411"/>
      <c r="R793" s="411"/>
      <c r="S793" s="411"/>
      <c r="T793" s="411"/>
      <c r="U793" s="411"/>
      <c r="V793" s="411"/>
      <c r="W793" s="411"/>
      <c r="X793" s="411"/>
      <c r="Y793" s="411"/>
      <c r="Z793" s="411"/>
      <c r="AA793" s="411"/>
      <c r="AB793" s="411"/>
      <c r="AC793" s="411"/>
      <c r="AD793" s="411"/>
      <c r="AE793" s="411"/>
      <c r="AF793" s="411"/>
      <c r="AG793" s="411"/>
    </row>
    <row r="794" ht="14.25" customHeight="1">
      <c r="O794" s="411"/>
      <c r="P794" s="411"/>
      <c r="Q794" s="411"/>
      <c r="R794" s="411"/>
      <c r="S794" s="411"/>
      <c r="T794" s="411"/>
      <c r="U794" s="411"/>
      <c r="V794" s="411"/>
      <c r="W794" s="411"/>
      <c r="X794" s="411"/>
      <c r="Y794" s="411"/>
      <c r="Z794" s="411"/>
      <c r="AA794" s="411"/>
      <c r="AB794" s="411"/>
      <c r="AC794" s="411"/>
      <c r="AD794" s="411"/>
      <c r="AE794" s="411"/>
      <c r="AF794" s="411"/>
      <c r="AG794" s="411"/>
    </row>
    <row r="795" ht="14.25" customHeight="1">
      <c r="O795" s="411"/>
      <c r="P795" s="411"/>
      <c r="Q795" s="411"/>
      <c r="R795" s="411"/>
      <c r="S795" s="411"/>
      <c r="T795" s="411"/>
      <c r="U795" s="411"/>
      <c r="V795" s="411"/>
      <c r="W795" s="411"/>
      <c r="X795" s="411"/>
      <c r="Y795" s="411"/>
      <c r="Z795" s="411"/>
      <c r="AA795" s="411"/>
      <c r="AB795" s="411"/>
      <c r="AC795" s="411"/>
      <c r="AD795" s="411"/>
      <c r="AE795" s="411"/>
      <c r="AF795" s="411"/>
      <c r="AG795" s="411"/>
    </row>
    <row r="796" ht="14.25" customHeight="1">
      <c r="O796" s="411"/>
      <c r="P796" s="411"/>
      <c r="Q796" s="411"/>
      <c r="R796" s="411"/>
      <c r="S796" s="411"/>
      <c r="T796" s="411"/>
      <c r="U796" s="411"/>
      <c r="V796" s="411"/>
      <c r="W796" s="411"/>
      <c r="X796" s="411"/>
      <c r="Y796" s="411"/>
      <c r="Z796" s="411"/>
      <c r="AA796" s="411"/>
      <c r="AB796" s="411"/>
      <c r="AC796" s="411"/>
      <c r="AD796" s="411"/>
      <c r="AE796" s="411"/>
      <c r="AF796" s="411"/>
      <c r="AG796" s="411"/>
    </row>
    <row r="797" ht="14.25" customHeight="1">
      <c r="O797" s="411"/>
      <c r="P797" s="411"/>
      <c r="Q797" s="411"/>
      <c r="R797" s="411"/>
      <c r="S797" s="411"/>
      <c r="T797" s="411"/>
      <c r="U797" s="411"/>
      <c r="V797" s="411"/>
      <c r="W797" s="411"/>
      <c r="X797" s="411"/>
      <c r="Y797" s="411"/>
      <c r="Z797" s="411"/>
      <c r="AA797" s="411"/>
      <c r="AB797" s="411"/>
      <c r="AC797" s="411"/>
      <c r="AD797" s="411"/>
      <c r="AE797" s="411"/>
      <c r="AF797" s="411"/>
      <c r="AG797" s="411"/>
    </row>
    <row r="798" ht="14.25" customHeight="1">
      <c r="O798" s="411"/>
      <c r="P798" s="411"/>
      <c r="Q798" s="411"/>
      <c r="R798" s="411"/>
      <c r="S798" s="411"/>
      <c r="T798" s="411"/>
      <c r="U798" s="411"/>
      <c r="V798" s="411"/>
      <c r="W798" s="411"/>
      <c r="X798" s="411"/>
      <c r="Y798" s="411"/>
      <c r="Z798" s="411"/>
      <c r="AA798" s="411"/>
      <c r="AB798" s="411"/>
      <c r="AC798" s="411"/>
      <c r="AD798" s="411"/>
      <c r="AE798" s="411"/>
      <c r="AF798" s="411"/>
      <c r="AG798" s="411"/>
    </row>
    <row r="799" ht="14.25" customHeight="1">
      <c r="O799" s="411"/>
      <c r="P799" s="411"/>
      <c r="Q799" s="411"/>
      <c r="R799" s="411"/>
      <c r="S799" s="411"/>
      <c r="T799" s="411"/>
      <c r="U799" s="411"/>
      <c r="V799" s="411"/>
      <c r="W799" s="411"/>
      <c r="X799" s="411"/>
      <c r="Y799" s="411"/>
      <c r="Z799" s="411"/>
      <c r="AA799" s="411"/>
      <c r="AB799" s="411"/>
      <c r="AC799" s="411"/>
      <c r="AD799" s="411"/>
      <c r="AE799" s="411"/>
      <c r="AF799" s="411"/>
      <c r="AG799" s="411"/>
    </row>
    <row r="800" ht="14.25" customHeight="1">
      <c r="O800" s="411"/>
      <c r="P800" s="411"/>
      <c r="Q800" s="411"/>
      <c r="R800" s="411"/>
      <c r="S800" s="411"/>
      <c r="T800" s="411"/>
      <c r="U800" s="411"/>
      <c r="V800" s="411"/>
      <c r="W800" s="411"/>
      <c r="X800" s="411"/>
      <c r="Y800" s="411"/>
      <c r="Z800" s="411"/>
      <c r="AA800" s="411"/>
      <c r="AB800" s="411"/>
      <c r="AC800" s="411"/>
      <c r="AD800" s="411"/>
      <c r="AE800" s="411"/>
      <c r="AF800" s="411"/>
      <c r="AG800" s="411"/>
    </row>
    <row r="801" ht="14.25" customHeight="1">
      <c r="O801" s="411"/>
      <c r="P801" s="411"/>
      <c r="Q801" s="411"/>
      <c r="R801" s="411"/>
      <c r="S801" s="411"/>
      <c r="T801" s="411"/>
      <c r="U801" s="411"/>
      <c r="V801" s="411"/>
      <c r="W801" s="411"/>
      <c r="X801" s="411"/>
      <c r="Y801" s="411"/>
      <c r="Z801" s="411"/>
      <c r="AA801" s="411"/>
      <c r="AB801" s="411"/>
      <c r="AC801" s="411"/>
      <c r="AD801" s="411"/>
      <c r="AE801" s="411"/>
      <c r="AF801" s="411"/>
      <c r="AG801" s="411"/>
    </row>
    <row r="802" ht="14.25" customHeight="1">
      <c r="O802" s="411"/>
      <c r="P802" s="411"/>
      <c r="Q802" s="411"/>
      <c r="R802" s="411"/>
      <c r="S802" s="411"/>
      <c r="T802" s="411"/>
      <c r="U802" s="411"/>
      <c r="V802" s="411"/>
      <c r="W802" s="411"/>
      <c r="X802" s="411"/>
      <c r="Y802" s="411"/>
      <c r="Z802" s="411"/>
      <c r="AA802" s="411"/>
      <c r="AB802" s="411"/>
      <c r="AC802" s="411"/>
      <c r="AD802" s="411"/>
      <c r="AE802" s="411"/>
      <c r="AF802" s="411"/>
      <c r="AG802" s="411"/>
    </row>
    <row r="803" ht="14.25" customHeight="1">
      <c r="O803" s="411"/>
      <c r="P803" s="411"/>
      <c r="Q803" s="411"/>
      <c r="R803" s="411"/>
      <c r="S803" s="411"/>
      <c r="T803" s="411"/>
      <c r="U803" s="411"/>
      <c r="V803" s="411"/>
      <c r="W803" s="411"/>
      <c r="X803" s="411"/>
      <c r="Y803" s="411"/>
      <c r="Z803" s="411"/>
      <c r="AA803" s="411"/>
      <c r="AB803" s="411"/>
      <c r="AC803" s="411"/>
      <c r="AD803" s="411"/>
      <c r="AE803" s="411"/>
      <c r="AF803" s="411"/>
      <c r="AG803" s="411"/>
    </row>
    <row r="804" ht="14.25" customHeight="1">
      <c r="O804" s="411"/>
      <c r="P804" s="411"/>
      <c r="Q804" s="411"/>
      <c r="R804" s="411"/>
      <c r="S804" s="411"/>
      <c r="T804" s="411"/>
      <c r="U804" s="411"/>
      <c r="V804" s="411"/>
      <c r="W804" s="411"/>
      <c r="X804" s="411"/>
      <c r="Y804" s="411"/>
      <c r="Z804" s="411"/>
      <c r="AA804" s="411"/>
      <c r="AB804" s="411"/>
      <c r="AC804" s="411"/>
      <c r="AD804" s="411"/>
      <c r="AE804" s="411"/>
      <c r="AF804" s="411"/>
      <c r="AG804" s="411"/>
    </row>
    <row r="805" ht="14.25" customHeight="1">
      <c r="O805" s="411"/>
      <c r="P805" s="411"/>
      <c r="Q805" s="411"/>
      <c r="R805" s="411"/>
      <c r="S805" s="411"/>
      <c r="T805" s="411"/>
      <c r="U805" s="411"/>
      <c r="V805" s="411"/>
      <c r="W805" s="411"/>
      <c r="X805" s="411"/>
      <c r="Y805" s="411"/>
      <c r="Z805" s="411"/>
      <c r="AA805" s="411"/>
      <c r="AB805" s="411"/>
      <c r="AC805" s="411"/>
      <c r="AD805" s="411"/>
      <c r="AE805" s="411"/>
      <c r="AF805" s="411"/>
      <c r="AG805" s="411"/>
    </row>
    <row r="806" ht="14.25" customHeight="1">
      <c r="O806" s="411"/>
      <c r="P806" s="411"/>
      <c r="Q806" s="411"/>
      <c r="R806" s="411"/>
      <c r="S806" s="411"/>
      <c r="T806" s="411"/>
      <c r="U806" s="411"/>
      <c r="V806" s="411"/>
      <c r="W806" s="411"/>
      <c r="X806" s="411"/>
      <c r="Y806" s="411"/>
      <c r="Z806" s="411"/>
      <c r="AA806" s="411"/>
      <c r="AB806" s="411"/>
      <c r="AC806" s="411"/>
      <c r="AD806" s="411"/>
      <c r="AE806" s="411"/>
      <c r="AF806" s="411"/>
      <c r="AG806" s="411"/>
    </row>
    <row r="807" ht="14.25" customHeight="1">
      <c r="O807" s="411"/>
      <c r="P807" s="411"/>
      <c r="Q807" s="411"/>
      <c r="R807" s="411"/>
      <c r="S807" s="411"/>
      <c r="T807" s="411"/>
      <c r="U807" s="411"/>
      <c r="V807" s="411"/>
      <c r="W807" s="411"/>
      <c r="X807" s="411"/>
      <c r="Y807" s="411"/>
      <c r="Z807" s="411"/>
      <c r="AA807" s="411"/>
      <c r="AB807" s="411"/>
      <c r="AC807" s="411"/>
      <c r="AD807" s="411"/>
      <c r="AE807" s="411"/>
      <c r="AF807" s="411"/>
      <c r="AG807" s="411"/>
    </row>
    <row r="808" ht="14.25" customHeight="1">
      <c r="O808" s="411"/>
      <c r="P808" s="411"/>
      <c r="Q808" s="411"/>
      <c r="R808" s="411"/>
      <c r="S808" s="411"/>
      <c r="T808" s="411"/>
      <c r="U808" s="411"/>
      <c r="V808" s="411"/>
      <c r="W808" s="411"/>
      <c r="X808" s="411"/>
      <c r="Y808" s="411"/>
      <c r="Z808" s="411"/>
      <c r="AA808" s="411"/>
      <c r="AB808" s="411"/>
      <c r="AC808" s="411"/>
      <c r="AD808" s="411"/>
      <c r="AE808" s="411"/>
      <c r="AF808" s="411"/>
      <c r="AG808" s="411"/>
    </row>
    <row r="809" ht="14.25" customHeight="1">
      <c r="O809" s="411"/>
      <c r="P809" s="411"/>
      <c r="Q809" s="411"/>
      <c r="R809" s="411"/>
      <c r="S809" s="411"/>
      <c r="T809" s="411"/>
      <c r="U809" s="411"/>
      <c r="V809" s="411"/>
      <c r="W809" s="411"/>
      <c r="X809" s="411"/>
      <c r="Y809" s="411"/>
      <c r="Z809" s="411"/>
      <c r="AA809" s="411"/>
      <c r="AB809" s="411"/>
      <c r="AC809" s="411"/>
      <c r="AD809" s="411"/>
      <c r="AE809" s="411"/>
      <c r="AF809" s="411"/>
      <c r="AG809" s="411"/>
    </row>
    <row r="810" ht="14.25" customHeight="1">
      <c r="O810" s="411"/>
      <c r="P810" s="411"/>
      <c r="Q810" s="411"/>
      <c r="R810" s="411"/>
      <c r="S810" s="411"/>
      <c r="T810" s="411"/>
      <c r="U810" s="411"/>
      <c r="V810" s="411"/>
      <c r="W810" s="411"/>
      <c r="X810" s="411"/>
      <c r="Y810" s="411"/>
      <c r="Z810" s="411"/>
      <c r="AA810" s="411"/>
      <c r="AB810" s="411"/>
      <c r="AC810" s="411"/>
      <c r="AD810" s="411"/>
      <c r="AE810" s="411"/>
      <c r="AF810" s="411"/>
      <c r="AG810" s="411"/>
    </row>
    <row r="811" ht="14.25" customHeight="1">
      <c r="O811" s="411"/>
      <c r="P811" s="411"/>
      <c r="Q811" s="411"/>
      <c r="R811" s="411"/>
      <c r="S811" s="411"/>
      <c r="T811" s="411"/>
      <c r="U811" s="411"/>
      <c r="V811" s="411"/>
      <c r="W811" s="411"/>
      <c r="X811" s="411"/>
      <c r="Y811" s="411"/>
      <c r="Z811" s="411"/>
      <c r="AA811" s="411"/>
      <c r="AB811" s="411"/>
      <c r="AC811" s="411"/>
      <c r="AD811" s="411"/>
      <c r="AE811" s="411"/>
      <c r="AF811" s="411"/>
      <c r="AG811" s="411"/>
    </row>
    <row r="812" ht="14.25" customHeight="1">
      <c r="O812" s="411"/>
      <c r="P812" s="411"/>
      <c r="Q812" s="411"/>
      <c r="R812" s="411"/>
      <c r="S812" s="411"/>
      <c r="T812" s="411"/>
      <c r="U812" s="411"/>
      <c r="V812" s="411"/>
      <c r="W812" s="411"/>
      <c r="X812" s="411"/>
      <c r="Y812" s="411"/>
      <c r="Z812" s="411"/>
      <c r="AA812" s="411"/>
      <c r="AB812" s="411"/>
      <c r="AC812" s="411"/>
      <c r="AD812" s="411"/>
      <c r="AE812" s="411"/>
      <c r="AF812" s="411"/>
      <c r="AG812" s="411"/>
    </row>
    <row r="813" ht="14.25" customHeight="1">
      <c r="O813" s="411"/>
      <c r="P813" s="411"/>
      <c r="Q813" s="411"/>
      <c r="R813" s="411"/>
      <c r="S813" s="411"/>
      <c r="T813" s="411"/>
      <c r="U813" s="411"/>
      <c r="V813" s="411"/>
      <c r="W813" s="411"/>
      <c r="X813" s="411"/>
      <c r="Y813" s="411"/>
      <c r="Z813" s="411"/>
      <c r="AA813" s="411"/>
      <c r="AB813" s="411"/>
      <c r="AC813" s="411"/>
      <c r="AD813" s="411"/>
      <c r="AE813" s="411"/>
      <c r="AF813" s="411"/>
      <c r="AG813" s="411"/>
    </row>
    <row r="814" ht="14.25" customHeight="1">
      <c r="O814" s="411"/>
      <c r="P814" s="411"/>
      <c r="Q814" s="411"/>
      <c r="R814" s="411"/>
      <c r="S814" s="411"/>
      <c r="T814" s="411"/>
      <c r="U814" s="411"/>
      <c r="V814" s="411"/>
      <c r="W814" s="411"/>
      <c r="X814" s="411"/>
      <c r="Y814" s="411"/>
      <c r="Z814" s="411"/>
      <c r="AA814" s="411"/>
      <c r="AB814" s="411"/>
      <c r="AC814" s="411"/>
      <c r="AD814" s="411"/>
      <c r="AE814" s="411"/>
      <c r="AF814" s="411"/>
      <c r="AG814" s="411"/>
    </row>
    <row r="815" ht="14.25" customHeight="1">
      <c r="O815" s="411"/>
      <c r="P815" s="411"/>
      <c r="Q815" s="411"/>
      <c r="R815" s="411"/>
      <c r="S815" s="411"/>
      <c r="T815" s="411"/>
      <c r="U815" s="411"/>
      <c r="V815" s="411"/>
      <c r="W815" s="411"/>
      <c r="X815" s="411"/>
      <c r="Y815" s="411"/>
      <c r="Z815" s="411"/>
      <c r="AA815" s="411"/>
      <c r="AB815" s="411"/>
      <c r="AC815" s="411"/>
      <c r="AD815" s="411"/>
      <c r="AE815" s="411"/>
      <c r="AF815" s="411"/>
      <c r="AG815" s="411"/>
    </row>
    <row r="816" ht="14.25" customHeight="1">
      <c r="O816" s="411"/>
      <c r="P816" s="411"/>
      <c r="Q816" s="411"/>
      <c r="R816" s="411"/>
      <c r="S816" s="411"/>
      <c r="T816" s="411"/>
      <c r="U816" s="411"/>
      <c r="V816" s="411"/>
      <c r="W816" s="411"/>
      <c r="X816" s="411"/>
      <c r="Y816" s="411"/>
      <c r="Z816" s="411"/>
      <c r="AA816" s="411"/>
      <c r="AB816" s="411"/>
      <c r="AC816" s="411"/>
      <c r="AD816" s="411"/>
      <c r="AE816" s="411"/>
      <c r="AF816" s="411"/>
      <c r="AG816" s="411"/>
    </row>
    <row r="817" ht="14.25" customHeight="1">
      <c r="O817" s="411"/>
      <c r="P817" s="411"/>
      <c r="Q817" s="411"/>
      <c r="R817" s="411"/>
      <c r="S817" s="411"/>
      <c r="T817" s="411"/>
      <c r="U817" s="411"/>
      <c r="V817" s="411"/>
      <c r="W817" s="411"/>
      <c r="X817" s="411"/>
      <c r="Y817" s="411"/>
      <c r="Z817" s="411"/>
      <c r="AA817" s="411"/>
      <c r="AB817" s="411"/>
      <c r="AC817" s="411"/>
      <c r="AD817" s="411"/>
      <c r="AE817" s="411"/>
      <c r="AF817" s="411"/>
      <c r="AG817" s="411"/>
    </row>
    <row r="818" ht="14.25" customHeight="1">
      <c r="O818" s="411"/>
      <c r="P818" s="411"/>
      <c r="Q818" s="411"/>
      <c r="R818" s="411"/>
      <c r="S818" s="411"/>
      <c r="T818" s="411"/>
      <c r="U818" s="411"/>
      <c r="V818" s="411"/>
      <c r="W818" s="411"/>
      <c r="X818" s="411"/>
      <c r="Y818" s="411"/>
      <c r="Z818" s="411"/>
      <c r="AA818" s="411"/>
      <c r="AB818" s="411"/>
      <c r="AC818" s="411"/>
      <c r="AD818" s="411"/>
      <c r="AE818" s="411"/>
      <c r="AF818" s="411"/>
      <c r="AG818" s="411"/>
    </row>
    <row r="819" ht="14.25" customHeight="1">
      <c r="O819" s="411"/>
      <c r="P819" s="411"/>
      <c r="Q819" s="411"/>
      <c r="R819" s="411"/>
      <c r="S819" s="411"/>
      <c r="T819" s="411"/>
      <c r="U819" s="411"/>
      <c r="V819" s="411"/>
      <c r="W819" s="411"/>
      <c r="X819" s="411"/>
      <c r="Y819" s="411"/>
      <c r="Z819" s="411"/>
      <c r="AA819" s="411"/>
      <c r="AB819" s="411"/>
      <c r="AC819" s="411"/>
      <c r="AD819" s="411"/>
      <c r="AE819" s="411"/>
      <c r="AF819" s="411"/>
      <c r="AG819" s="411"/>
    </row>
    <row r="820" ht="14.25" customHeight="1">
      <c r="O820" s="411"/>
      <c r="P820" s="411"/>
      <c r="Q820" s="411"/>
      <c r="R820" s="411"/>
      <c r="S820" s="411"/>
      <c r="T820" s="411"/>
      <c r="U820" s="411"/>
      <c r="V820" s="411"/>
      <c r="W820" s="411"/>
      <c r="X820" s="411"/>
      <c r="Y820" s="411"/>
      <c r="Z820" s="411"/>
      <c r="AA820" s="411"/>
      <c r="AB820" s="411"/>
      <c r="AC820" s="411"/>
      <c r="AD820" s="411"/>
      <c r="AE820" s="411"/>
      <c r="AF820" s="411"/>
      <c r="AG820" s="411"/>
    </row>
    <row r="821" ht="14.25" customHeight="1">
      <c r="O821" s="411"/>
      <c r="P821" s="411"/>
      <c r="Q821" s="411"/>
      <c r="R821" s="411"/>
      <c r="S821" s="411"/>
      <c r="T821" s="411"/>
      <c r="U821" s="411"/>
      <c r="V821" s="411"/>
      <c r="W821" s="411"/>
      <c r="X821" s="411"/>
      <c r="Y821" s="411"/>
      <c r="Z821" s="411"/>
      <c r="AA821" s="411"/>
      <c r="AB821" s="411"/>
      <c r="AC821" s="411"/>
      <c r="AD821" s="411"/>
      <c r="AE821" s="411"/>
      <c r="AF821" s="411"/>
      <c r="AG821" s="411"/>
    </row>
    <row r="822" ht="14.25" customHeight="1">
      <c r="O822" s="411"/>
      <c r="P822" s="411"/>
      <c r="Q822" s="411"/>
      <c r="R822" s="411"/>
      <c r="S822" s="411"/>
      <c r="T822" s="411"/>
      <c r="U822" s="411"/>
      <c r="V822" s="411"/>
      <c r="W822" s="411"/>
      <c r="X822" s="411"/>
      <c r="Y822" s="411"/>
      <c r="Z822" s="411"/>
      <c r="AA822" s="411"/>
      <c r="AB822" s="411"/>
      <c r="AC822" s="411"/>
      <c r="AD822" s="411"/>
      <c r="AE822" s="411"/>
      <c r="AF822" s="411"/>
      <c r="AG822" s="411"/>
    </row>
    <row r="823" ht="14.25" customHeight="1">
      <c r="O823" s="411"/>
      <c r="P823" s="411"/>
      <c r="Q823" s="411"/>
      <c r="R823" s="411"/>
      <c r="S823" s="411"/>
      <c r="T823" s="411"/>
      <c r="U823" s="411"/>
      <c r="V823" s="411"/>
      <c r="W823" s="411"/>
      <c r="X823" s="411"/>
      <c r="Y823" s="411"/>
      <c r="Z823" s="411"/>
      <c r="AA823" s="411"/>
      <c r="AB823" s="411"/>
      <c r="AC823" s="411"/>
      <c r="AD823" s="411"/>
      <c r="AE823" s="411"/>
      <c r="AF823" s="411"/>
      <c r="AG823" s="411"/>
    </row>
    <row r="824" ht="14.25" customHeight="1">
      <c r="O824" s="411"/>
      <c r="P824" s="411"/>
      <c r="Q824" s="411"/>
      <c r="R824" s="411"/>
      <c r="S824" s="411"/>
      <c r="T824" s="411"/>
      <c r="U824" s="411"/>
      <c r="V824" s="411"/>
      <c r="W824" s="411"/>
      <c r="X824" s="411"/>
      <c r="Y824" s="411"/>
      <c r="Z824" s="411"/>
      <c r="AA824" s="411"/>
      <c r="AB824" s="411"/>
      <c r="AC824" s="411"/>
      <c r="AD824" s="411"/>
      <c r="AE824" s="411"/>
      <c r="AF824" s="411"/>
      <c r="AG824" s="411"/>
    </row>
    <row r="825" ht="14.25" customHeight="1">
      <c r="O825" s="411"/>
      <c r="P825" s="411"/>
      <c r="Q825" s="411"/>
      <c r="R825" s="411"/>
      <c r="S825" s="411"/>
      <c r="T825" s="411"/>
      <c r="U825" s="411"/>
      <c r="V825" s="411"/>
      <c r="W825" s="411"/>
      <c r="X825" s="411"/>
      <c r="Y825" s="411"/>
      <c r="Z825" s="411"/>
      <c r="AA825" s="411"/>
      <c r="AB825" s="411"/>
      <c r="AC825" s="411"/>
      <c r="AD825" s="411"/>
      <c r="AE825" s="411"/>
      <c r="AF825" s="411"/>
      <c r="AG825" s="411"/>
    </row>
    <row r="826" ht="14.25" customHeight="1">
      <c r="O826" s="411"/>
      <c r="P826" s="411"/>
      <c r="Q826" s="411"/>
      <c r="R826" s="411"/>
      <c r="S826" s="411"/>
      <c r="T826" s="411"/>
      <c r="U826" s="411"/>
      <c r="V826" s="411"/>
      <c r="W826" s="411"/>
      <c r="X826" s="411"/>
      <c r="Y826" s="411"/>
      <c r="Z826" s="411"/>
      <c r="AA826" s="411"/>
      <c r="AB826" s="411"/>
      <c r="AC826" s="411"/>
      <c r="AD826" s="411"/>
      <c r="AE826" s="411"/>
      <c r="AF826" s="411"/>
      <c r="AG826" s="411"/>
    </row>
    <row r="827" ht="14.25" customHeight="1">
      <c r="O827" s="411"/>
      <c r="P827" s="411"/>
      <c r="Q827" s="411"/>
      <c r="R827" s="411"/>
      <c r="S827" s="411"/>
      <c r="T827" s="411"/>
      <c r="U827" s="411"/>
      <c r="V827" s="411"/>
      <c r="W827" s="411"/>
      <c r="X827" s="411"/>
      <c r="Y827" s="411"/>
      <c r="Z827" s="411"/>
      <c r="AA827" s="411"/>
      <c r="AB827" s="411"/>
      <c r="AC827" s="411"/>
      <c r="AD827" s="411"/>
      <c r="AE827" s="411"/>
      <c r="AF827" s="411"/>
      <c r="AG827" s="411"/>
    </row>
    <row r="828" ht="14.25" customHeight="1">
      <c r="O828" s="411"/>
      <c r="P828" s="411"/>
      <c r="Q828" s="411"/>
      <c r="R828" s="411"/>
      <c r="S828" s="411"/>
      <c r="T828" s="411"/>
      <c r="U828" s="411"/>
      <c r="V828" s="411"/>
      <c r="W828" s="411"/>
      <c r="X828" s="411"/>
      <c r="Y828" s="411"/>
      <c r="Z828" s="411"/>
      <c r="AA828" s="411"/>
      <c r="AB828" s="411"/>
      <c r="AC828" s="411"/>
      <c r="AD828" s="411"/>
      <c r="AE828" s="411"/>
      <c r="AF828" s="411"/>
      <c r="AG828" s="411"/>
    </row>
    <row r="829" ht="14.25" customHeight="1">
      <c r="O829" s="411"/>
      <c r="P829" s="411"/>
      <c r="Q829" s="411"/>
      <c r="R829" s="411"/>
      <c r="S829" s="411"/>
      <c r="T829" s="411"/>
      <c r="U829" s="411"/>
      <c r="V829" s="411"/>
      <c r="W829" s="411"/>
      <c r="X829" s="411"/>
      <c r="Y829" s="411"/>
      <c r="Z829" s="411"/>
      <c r="AA829" s="411"/>
      <c r="AB829" s="411"/>
      <c r="AC829" s="411"/>
      <c r="AD829" s="411"/>
      <c r="AE829" s="411"/>
      <c r="AF829" s="411"/>
      <c r="AG829" s="411"/>
    </row>
    <row r="830" ht="14.25" customHeight="1">
      <c r="O830" s="411"/>
      <c r="P830" s="411"/>
      <c r="Q830" s="411"/>
      <c r="R830" s="411"/>
      <c r="S830" s="411"/>
      <c r="T830" s="411"/>
      <c r="U830" s="411"/>
      <c r="V830" s="411"/>
      <c r="W830" s="411"/>
      <c r="X830" s="411"/>
      <c r="Y830" s="411"/>
      <c r="Z830" s="411"/>
      <c r="AA830" s="411"/>
      <c r="AB830" s="411"/>
      <c r="AC830" s="411"/>
      <c r="AD830" s="411"/>
      <c r="AE830" s="411"/>
      <c r="AF830" s="411"/>
      <c r="AG830" s="411"/>
    </row>
    <row r="831" ht="14.25" customHeight="1">
      <c r="O831" s="411"/>
      <c r="P831" s="411"/>
      <c r="Q831" s="411"/>
      <c r="R831" s="411"/>
      <c r="S831" s="411"/>
      <c r="T831" s="411"/>
      <c r="U831" s="411"/>
      <c r="V831" s="411"/>
      <c r="W831" s="411"/>
      <c r="X831" s="411"/>
      <c r="Y831" s="411"/>
      <c r="Z831" s="411"/>
      <c r="AA831" s="411"/>
      <c r="AB831" s="411"/>
      <c r="AC831" s="411"/>
      <c r="AD831" s="411"/>
      <c r="AE831" s="411"/>
      <c r="AF831" s="411"/>
      <c r="AG831" s="411"/>
    </row>
    <row r="832" ht="14.25" customHeight="1">
      <c r="O832" s="411"/>
      <c r="P832" s="411"/>
      <c r="Q832" s="411"/>
      <c r="R832" s="411"/>
      <c r="S832" s="411"/>
      <c r="T832" s="411"/>
      <c r="U832" s="411"/>
      <c r="V832" s="411"/>
      <c r="W832" s="411"/>
      <c r="X832" s="411"/>
      <c r="Y832" s="411"/>
      <c r="Z832" s="411"/>
      <c r="AA832" s="411"/>
      <c r="AB832" s="411"/>
      <c r="AC832" s="411"/>
      <c r="AD832" s="411"/>
      <c r="AE832" s="411"/>
      <c r="AF832" s="411"/>
      <c r="AG832" s="411"/>
    </row>
    <row r="833" ht="14.25" customHeight="1">
      <c r="O833" s="411"/>
      <c r="P833" s="411"/>
      <c r="Q833" s="411"/>
      <c r="R833" s="411"/>
      <c r="S833" s="411"/>
      <c r="T833" s="411"/>
      <c r="U833" s="411"/>
      <c r="V833" s="411"/>
      <c r="W833" s="411"/>
      <c r="X833" s="411"/>
      <c r="Y833" s="411"/>
      <c r="Z833" s="411"/>
      <c r="AA833" s="411"/>
      <c r="AB833" s="411"/>
      <c r="AC833" s="411"/>
      <c r="AD833" s="411"/>
      <c r="AE833" s="411"/>
      <c r="AF833" s="411"/>
      <c r="AG833" s="411"/>
    </row>
    <row r="834" ht="14.25" customHeight="1">
      <c r="O834" s="411"/>
      <c r="P834" s="411"/>
      <c r="Q834" s="411"/>
      <c r="R834" s="411"/>
      <c r="S834" s="411"/>
      <c r="T834" s="411"/>
      <c r="U834" s="411"/>
      <c r="V834" s="411"/>
      <c r="W834" s="411"/>
      <c r="X834" s="411"/>
      <c r="Y834" s="411"/>
      <c r="Z834" s="411"/>
      <c r="AA834" s="411"/>
      <c r="AB834" s="411"/>
      <c r="AC834" s="411"/>
      <c r="AD834" s="411"/>
      <c r="AE834" s="411"/>
      <c r="AF834" s="411"/>
      <c r="AG834" s="411"/>
    </row>
    <row r="835" ht="14.25" customHeight="1">
      <c r="O835" s="411"/>
      <c r="P835" s="411"/>
      <c r="Q835" s="411"/>
      <c r="R835" s="411"/>
      <c r="S835" s="411"/>
      <c r="T835" s="411"/>
      <c r="U835" s="411"/>
      <c r="V835" s="411"/>
      <c r="W835" s="411"/>
      <c r="X835" s="411"/>
      <c r="Y835" s="411"/>
      <c r="Z835" s="411"/>
      <c r="AA835" s="411"/>
      <c r="AB835" s="411"/>
      <c r="AC835" s="411"/>
      <c r="AD835" s="411"/>
      <c r="AE835" s="411"/>
      <c r="AF835" s="411"/>
      <c r="AG835" s="411"/>
    </row>
    <row r="836" ht="14.25" customHeight="1">
      <c r="O836" s="411"/>
      <c r="P836" s="411"/>
      <c r="Q836" s="411"/>
      <c r="R836" s="411"/>
      <c r="S836" s="411"/>
      <c r="T836" s="411"/>
      <c r="U836" s="411"/>
      <c r="V836" s="411"/>
      <c r="W836" s="411"/>
      <c r="X836" s="411"/>
      <c r="Y836" s="411"/>
      <c r="Z836" s="411"/>
      <c r="AA836" s="411"/>
      <c r="AB836" s="411"/>
      <c r="AC836" s="411"/>
      <c r="AD836" s="411"/>
      <c r="AE836" s="411"/>
      <c r="AF836" s="411"/>
      <c r="AG836" s="411"/>
    </row>
    <row r="837" ht="14.25" customHeight="1">
      <c r="O837" s="411"/>
      <c r="P837" s="411"/>
      <c r="Q837" s="411"/>
      <c r="R837" s="411"/>
      <c r="S837" s="411"/>
      <c r="T837" s="411"/>
      <c r="U837" s="411"/>
      <c r="V837" s="411"/>
      <c r="W837" s="411"/>
      <c r="X837" s="411"/>
      <c r="Y837" s="411"/>
      <c r="Z837" s="411"/>
      <c r="AA837" s="411"/>
      <c r="AB837" s="411"/>
      <c r="AC837" s="411"/>
      <c r="AD837" s="411"/>
      <c r="AE837" s="411"/>
      <c r="AF837" s="411"/>
      <c r="AG837" s="411"/>
    </row>
    <row r="838" ht="14.25" customHeight="1">
      <c r="O838" s="411"/>
      <c r="P838" s="411"/>
      <c r="Q838" s="411"/>
      <c r="R838" s="411"/>
      <c r="S838" s="411"/>
      <c r="T838" s="411"/>
      <c r="U838" s="411"/>
      <c r="V838" s="411"/>
      <c r="W838" s="411"/>
      <c r="X838" s="411"/>
      <c r="Y838" s="411"/>
      <c r="Z838" s="411"/>
      <c r="AA838" s="411"/>
      <c r="AB838" s="411"/>
      <c r="AC838" s="411"/>
      <c r="AD838" s="411"/>
      <c r="AE838" s="411"/>
      <c r="AF838" s="411"/>
      <c r="AG838" s="411"/>
    </row>
    <row r="839" ht="14.25" customHeight="1">
      <c r="O839" s="411"/>
      <c r="P839" s="411"/>
      <c r="Q839" s="411"/>
      <c r="R839" s="411"/>
      <c r="S839" s="411"/>
      <c r="T839" s="411"/>
      <c r="U839" s="411"/>
      <c r="V839" s="411"/>
      <c r="W839" s="411"/>
      <c r="X839" s="411"/>
      <c r="Y839" s="411"/>
      <c r="Z839" s="411"/>
      <c r="AA839" s="411"/>
      <c r="AB839" s="411"/>
      <c r="AC839" s="411"/>
      <c r="AD839" s="411"/>
      <c r="AE839" s="411"/>
      <c r="AF839" s="411"/>
      <c r="AG839" s="411"/>
    </row>
    <row r="840" ht="14.25" customHeight="1">
      <c r="O840" s="411"/>
      <c r="P840" s="411"/>
      <c r="Q840" s="411"/>
      <c r="R840" s="411"/>
      <c r="S840" s="411"/>
      <c r="T840" s="411"/>
      <c r="U840" s="411"/>
      <c r="V840" s="411"/>
      <c r="W840" s="411"/>
      <c r="X840" s="411"/>
      <c r="Y840" s="411"/>
      <c r="Z840" s="411"/>
      <c r="AA840" s="411"/>
      <c r="AB840" s="411"/>
      <c r="AC840" s="411"/>
      <c r="AD840" s="411"/>
      <c r="AE840" s="411"/>
      <c r="AF840" s="411"/>
      <c r="AG840" s="411"/>
    </row>
    <row r="841" ht="14.25" customHeight="1">
      <c r="O841" s="411"/>
      <c r="P841" s="411"/>
      <c r="Q841" s="411"/>
      <c r="R841" s="411"/>
      <c r="S841" s="411"/>
      <c r="T841" s="411"/>
      <c r="U841" s="411"/>
      <c r="V841" s="411"/>
      <c r="W841" s="411"/>
      <c r="X841" s="411"/>
      <c r="Y841" s="411"/>
      <c r="Z841" s="411"/>
      <c r="AA841" s="411"/>
      <c r="AB841" s="411"/>
      <c r="AC841" s="411"/>
      <c r="AD841" s="411"/>
      <c r="AE841" s="411"/>
      <c r="AF841" s="411"/>
      <c r="AG841" s="411"/>
    </row>
    <row r="842" ht="14.25" customHeight="1">
      <c r="O842" s="411"/>
      <c r="P842" s="411"/>
      <c r="Q842" s="411"/>
      <c r="R842" s="411"/>
      <c r="S842" s="411"/>
      <c r="T842" s="411"/>
      <c r="U842" s="411"/>
      <c r="V842" s="411"/>
      <c r="W842" s="411"/>
      <c r="X842" s="411"/>
      <c r="Y842" s="411"/>
      <c r="Z842" s="411"/>
      <c r="AA842" s="411"/>
      <c r="AB842" s="411"/>
      <c r="AC842" s="411"/>
      <c r="AD842" s="411"/>
      <c r="AE842" s="411"/>
      <c r="AF842" s="411"/>
      <c r="AG842" s="411"/>
    </row>
    <row r="843" ht="14.25" customHeight="1">
      <c r="O843" s="411"/>
      <c r="P843" s="411"/>
      <c r="Q843" s="411"/>
      <c r="R843" s="411"/>
      <c r="S843" s="411"/>
      <c r="T843" s="411"/>
      <c r="U843" s="411"/>
      <c r="V843" s="411"/>
      <c r="W843" s="411"/>
      <c r="X843" s="411"/>
      <c r="Y843" s="411"/>
      <c r="Z843" s="411"/>
      <c r="AA843" s="411"/>
      <c r="AB843" s="411"/>
      <c r="AC843" s="411"/>
      <c r="AD843" s="411"/>
      <c r="AE843" s="411"/>
      <c r="AF843" s="411"/>
      <c r="AG843" s="411"/>
    </row>
    <row r="844" ht="14.25" customHeight="1">
      <c r="O844" s="411"/>
      <c r="P844" s="411"/>
      <c r="Q844" s="411"/>
      <c r="R844" s="411"/>
      <c r="S844" s="411"/>
      <c r="T844" s="411"/>
      <c r="U844" s="411"/>
      <c r="V844" s="411"/>
      <c r="W844" s="411"/>
      <c r="X844" s="411"/>
      <c r="Y844" s="411"/>
      <c r="Z844" s="411"/>
      <c r="AA844" s="411"/>
      <c r="AB844" s="411"/>
      <c r="AC844" s="411"/>
      <c r="AD844" s="411"/>
      <c r="AE844" s="411"/>
      <c r="AF844" s="411"/>
      <c r="AG844" s="411"/>
    </row>
    <row r="845" ht="14.25" customHeight="1">
      <c r="O845" s="411"/>
      <c r="P845" s="411"/>
      <c r="Q845" s="411"/>
      <c r="R845" s="411"/>
      <c r="S845" s="411"/>
      <c r="T845" s="411"/>
      <c r="U845" s="411"/>
      <c r="V845" s="411"/>
      <c r="W845" s="411"/>
      <c r="X845" s="411"/>
      <c r="Y845" s="411"/>
      <c r="Z845" s="411"/>
      <c r="AA845" s="411"/>
      <c r="AB845" s="411"/>
      <c r="AC845" s="411"/>
      <c r="AD845" s="411"/>
      <c r="AE845" s="411"/>
      <c r="AF845" s="411"/>
      <c r="AG845" s="411"/>
    </row>
    <row r="846" ht="14.25" customHeight="1">
      <c r="O846" s="411"/>
      <c r="P846" s="411"/>
      <c r="Q846" s="411"/>
      <c r="R846" s="411"/>
      <c r="S846" s="411"/>
      <c r="T846" s="411"/>
      <c r="U846" s="411"/>
      <c r="V846" s="411"/>
      <c r="W846" s="411"/>
      <c r="X846" s="411"/>
      <c r="Y846" s="411"/>
      <c r="Z846" s="411"/>
      <c r="AA846" s="411"/>
      <c r="AB846" s="411"/>
      <c r="AC846" s="411"/>
      <c r="AD846" s="411"/>
      <c r="AE846" s="411"/>
      <c r="AF846" s="411"/>
      <c r="AG846" s="411"/>
    </row>
    <row r="847" ht="14.25" customHeight="1">
      <c r="O847" s="411"/>
      <c r="P847" s="411"/>
      <c r="Q847" s="411"/>
      <c r="R847" s="411"/>
      <c r="S847" s="411"/>
      <c r="T847" s="411"/>
      <c r="U847" s="411"/>
      <c r="V847" s="411"/>
      <c r="W847" s="411"/>
      <c r="X847" s="411"/>
      <c r="Y847" s="411"/>
      <c r="Z847" s="411"/>
      <c r="AA847" s="411"/>
      <c r="AB847" s="411"/>
      <c r="AC847" s="411"/>
      <c r="AD847" s="411"/>
      <c r="AE847" s="411"/>
      <c r="AF847" s="411"/>
      <c r="AG847" s="411"/>
    </row>
    <row r="848" ht="14.25" customHeight="1">
      <c r="O848" s="411"/>
      <c r="P848" s="411"/>
      <c r="Q848" s="411"/>
      <c r="R848" s="411"/>
      <c r="S848" s="411"/>
      <c r="T848" s="411"/>
      <c r="U848" s="411"/>
      <c r="V848" s="411"/>
      <c r="W848" s="411"/>
      <c r="X848" s="411"/>
      <c r="Y848" s="411"/>
      <c r="Z848" s="411"/>
      <c r="AA848" s="411"/>
      <c r="AB848" s="411"/>
      <c r="AC848" s="411"/>
      <c r="AD848" s="411"/>
      <c r="AE848" s="411"/>
      <c r="AF848" s="411"/>
      <c r="AG848" s="411"/>
    </row>
    <row r="849" ht="14.25" customHeight="1">
      <c r="O849" s="411"/>
      <c r="P849" s="411"/>
      <c r="Q849" s="411"/>
      <c r="R849" s="411"/>
      <c r="S849" s="411"/>
      <c r="T849" s="411"/>
      <c r="U849" s="411"/>
      <c r="V849" s="411"/>
      <c r="W849" s="411"/>
      <c r="X849" s="411"/>
      <c r="Y849" s="411"/>
      <c r="Z849" s="411"/>
      <c r="AA849" s="411"/>
      <c r="AB849" s="411"/>
      <c r="AC849" s="411"/>
      <c r="AD849" s="411"/>
      <c r="AE849" s="411"/>
      <c r="AF849" s="411"/>
      <c r="AG849" s="411"/>
    </row>
    <row r="850" ht="14.25" customHeight="1">
      <c r="O850" s="411"/>
      <c r="P850" s="411"/>
      <c r="Q850" s="411"/>
      <c r="R850" s="411"/>
      <c r="S850" s="411"/>
      <c r="T850" s="411"/>
      <c r="U850" s="411"/>
      <c r="V850" s="411"/>
      <c r="W850" s="411"/>
      <c r="X850" s="411"/>
      <c r="Y850" s="411"/>
      <c r="Z850" s="411"/>
      <c r="AA850" s="411"/>
      <c r="AB850" s="411"/>
      <c r="AC850" s="411"/>
      <c r="AD850" s="411"/>
      <c r="AE850" s="411"/>
      <c r="AF850" s="411"/>
      <c r="AG850" s="411"/>
    </row>
    <row r="851" ht="14.25" customHeight="1">
      <c r="O851" s="411"/>
      <c r="P851" s="411"/>
      <c r="Q851" s="411"/>
      <c r="R851" s="411"/>
      <c r="S851" s="411"/>
      <c r="T851" s="411"/>
      <c r="U851" s="411"/>
      <c r="V851" s="411"/>
      <c r="W851" s="411"/>
      <c r="X851" s="411"/>
      <c r="Y851" s="411"/>
      <c r="Z851" s="411"/>
      <c r="AA851" s="411"/>
      <c r="AB851" s="411"/>
      <c r="AC851" s="411"/>
      <c r="AD851" s="411"/>
      <c r="AE851" s="411"/>
      <c r="AF851" s="411"/>
      <c r="AG851" s="411"/>
    </row>
    <row r="852" ht="14.25" customHeight="1">
      <c r="O852" s="411"/>
      <c r="P852" s="411"/>
      <c r="Q852" s="411"/>
      <c r="R852" s="411"/>
      <c r="S852" s="411"/>
      <c r="T852" s="411"/>
      <c r="U852" s="411"/>
      <c r="V852" s="411"/>
      <c r="W852" s="411"/>
      <c r="X852" s="411"/>
      <c r="Y852" s="411"/>
      <c r="Z852" s="411"/>
      <c r="AA852" s="411"/>
      <c r="AB852" s="411"/>
      <c r="AC852" s="411"/>
      <c r="AD852" s="411"/>
      <c r="AE852" s="411"/>
      <c r="AF852" s="411"/>
      <c r="AG852" s="411"/>
    </row>
    <row r="853" ht="14.25" customHeight="1">
      <c r="O853" s="411"/>
      <c r="P853" s="411"/>
      <c r="Q853" s="411"/>
      <c r="R853" s="411"/>
      <c r="S853" s="411"/>
      <c r="T853" s="411"/>
      <c r="U853" s="411"/>
      <c r="V853" s="411"/>
      <c r="W853" s="411"/>
      <c r="X853" s="411"/>
      <c r="Y853" s="411"/>
      <c r="Z853" s="411"/>
      <c r="AA853" s="411"/>
      <c r="AB853" s="411"/>
      <c r="AC853" s="411"/>
      <c r="AD853" s="411"/>
      <c r="AE853" s="411"/>
      <c r="AF853" s="411"/>
      <c r="AG853" s="411"/>
    </row>
    <row r="854" ht="14.25" customHeight="1">
      <c r="O854" s="411"/>
      <c r="P854" s="411"/>
      <c r="Q854" s="411"/>
      <c r="R854" s="411"/>
      <c r="S854" s="411"/>
      <c r="T854" s="411"/>
      <c r="U854" s="411"/>
      <c r="V854" s="411"/>
      <c r="W854" s="411"/>
      <c r="X854" s="411"/>
      <c r="Y854" s="411"/>
      <c r="Z854" s="411"/>
      <c r="AA854" s="411"/>
      <c r="AB854" s="411"/>
      <c r="AC854" s="411"/>
      <c r="AD854" s="411"/>
      <c r="AE854" s="411"/>
      <c r="AF854" s="411"/>
      <c r="AG854" s="411"/>
    </row>
    <row r="855" ht="14.25" customHeight="1">
      <c r="O855" s="411"/>
      <c r="P855" s="411"/>
      <c r="Q855" s="411"/>
      <c r="R855" s="411"/>
      <c r="S855" s="411"/>
      <c r="T855" s="411"/>
      <c r="U855" s="411"/>
      <c r="V855" s="411"/>
      <c r="W855" s="411"/>
      <c r="X855" s="411"/>
      <c r="Y855" s="411"/>
      <c r="Z855" s="411"/>
      <c r="AA855" s="411"/>
      <c r="AB855" s="411"/>
      <c r="AC855" s="411"/>
      <c r="AD855" s="411"/>
      <c r="AE855" s="411"/>
      <c r="AF855" s="411"/>
      <c r="AG855" s="411"/>
    </row>
    <row r="856" ht="14.25" customHeight="1">
      <c r="O856" s="411"/>
      <c r="P856" s="411"/>
      <c r="Q856" s="411"/>
      <c r="R856" s="411"/>
      <c r="S856" s="411"/>
      <c r="T856" s="411"/>
      <c r="U856" s="411"/>
      <c r="V856" s="411"/>
      <c r="W856" s="411"/>
      <c r="X856" s="411"/>
      <c r="Y856" s="411"/>
      <c r="Z856" s="411"/>
      <c r="AA856" s="411"/>
      <c r="AB856" s="411"/>
      <c r="AC856" s="411"/>
      <c r="AD856" s="411"/>
      <c r="AE856" s="411"/>
      <c r="AF856" s="411"/>
      <c r="AG856" s="411"/>
    </row>
    <row r="857" ht="14.25" customHeight="1">
      <c r="O857" s="411"/>
      <c r="P857" s="411"/>
      <c r="Q857" s="411"/>
      <c r="R857" s="411"/>
      <c r="S857" s="411"/>
      <c r="T857" s="411"/>
      <c r="U857" s="411"/>
      <c r="V857" s="411"/>
      <c r="W857" s="411"/>
      <c r="X857" s="411"/>
      <c r="Y857" s="411"/>
      <c r="Z857" s="411"/>
      <c r="AA857" s="411"/>
      <c r="AB857" s="411"/>
      <c r="AC857" s="411"/>
      <c r="AD857" s="411"/>
      <c r="AE857" s="411"/>
      <c r="AF857" s="411"/>
      <c r="AG857" s="411"/>
    </row>
    <row r="858" ht="14.25" customHeight="1">
      <c r="O858" s="411"/>
      <c r="P858" s="411"/>
      <c r="Q858" s="411"/>
      <c r="R858" s="411"/>
      <c r="S858" s="411"/>
      <c r="T858" s="411"/>
      <c r="U858" s="411"/>
      <c r="V858" s="411"/>
      <c r="W858" s="411"/>
      <c r="X858" s="411"/>
      <c r="Y858" s="411"/>
      <c r="Z858" s="411"/>
      <c r="AA858" s="411"/>
      <c r="AB858" s="411"/>
      <c r="AC858" s="411"/>
      <c r="AD858" s="411"/>
      <c r="AE858" s="411"/>
      <c r="AF858" s="411"/>
      <c r="AG858" s="411"/>
    </row>
    <row r="859" ht="14.25" customHeight="1">
      <c r="O859" s="411"/>
      <c r="P859" s="411"/>
      <c r="Q859" s="411"/>
      <c r="R859" s="411"/>
      <c r="S859" s="411"/>
      <c r="T859" s="411"/>
      <c r="U859" s="411"/>
      <c r="V859" s="411"/>
      <c r="W859" s="411"/>
      <c r="X859" s="411"/>
      <c r="Y859" s="411"/>
      <c r="Z859" s="411"/>
      <c r="AA859" s="411"/>
      <c r="AB859" s="411"/>
      <c r="AC859" s="411"/>
      <c r="AD859" s="411"/>
      <c r="AE859" s="411"/>
      <c r="AF859" s="411"/>
      <c r="AG859" s="411"/>
    </row>
    <row r="860" ht="14.25" customHeight="1">
      <c r="O860" s="411"/>
      <c r="P860" s="411"/>
      <c r="Q860" s="411"/>
      <c r="R860" s="411"/>
      <c r="S860" s="411"/>
      <c r="T860" s="411"/>
      <c r="U860" s="411"/>
      <c r="V860" s="411"/>
      <c r="W860" s="411"/>
      <c r="X860" s="411"/>
      <c r="Y860" s="411"/>
      <c r="Z860" s="411"/>
      <c r="AA860" s="411"/>
      <c r="AB860" s="411"/>
      <c r="AC860" s="411"/>
      <c r="AD860" s="411"/>
      <c r="AE860" s="411"/>
      <c r="AF860" s="411"/>
      <c r="AG860" s="411"/>
    </row>
    <row r="861" ht="14.25" customHeight="1">
      <c r="O861" s="411"/>
      <c r="P861" s="411"/>
      <c r="Q861" s="411"/>
      <c r="R861" s="411"/>
      <c r="S861" s="411"/>
      <c r="T861" s="411"/>
      <c r="U861" s="411"/>
      <c r="V861" s="411"/>
      <c r="W861" s="411"/>
      <c r="X861" s="411"/>
      <c r="Y861" s="411"/>
      <c r="Z861" s="411"/>
      <c r="AA861" s="411"/>
      <c r="AB861" s="411"/>
      <c r="AC861" s="411"/>
      <c r="AD861" s="411"/>
      <c r="AE861" s="411"/>
      <c r="AF861" s="411"/>
      <c r="AG861" s="411"/>
    </row>
    <row r="862" ht="14.25" customHeight="1">
      <c r="O862" s="411"/>
      <c r="P862" s="411"/>
      <c r="Q862" s="411"/>
      <c r="R862" s="411"/>
      <c r="S862" s="411"/>
      <c r="T862" s="411"/>
      <c r="U862" s="411"/>
      <c r="V862" s="411"/>
      <c r="W862" s="411"/>
      <c r="X862" s="411"/>
      <c r="Y862" s="411"/>
      <c r="Z862" s="411"/>
      <c r="AA862" s="411"/>
      <c r="AB862" s="411"/>
      <c r="AC862" s="411"/>
      <c r="AD862" s="411"/>
      <c r="AE862" s="411"/>
      <c r="AF862" s="411"/>
      <c r="AG862" s="411"/>
    </row>
    <row r="863" ht="14.25" customHeight="1">
      <c r="O863" s="411"/>
      <c r="P863" s="411"/>
      <c r="Q863" s="411"/>
      <c r="R863" s="411"/>
      <c r="S863" s="411"/>
      <c r="T863" s="411"/>
      <c r="U863" s="411"/>
      <c r="V863" s="411"/>
      <c r="W863" s="411"/>
      <c r="X863" s="411"/>
      <c r="Y863" s="411"/>
      <c r="Z863" s="411"/>
      <c r="AA863" s="411"/>
      <c r="AB863" s="411"/>
      <c r="AC863" s="411"/>
      <c r="AD863" s="411"/>
      <c r="AE863" s="411"/>
      <c r="AF863" s="411"/>
      <c r="AG863" s="411"/>
    </row>
    <row r="864" ht="14.25" customHeight="1">
      <c r="O864" s="411"/>
      <c r="P864" s="411"/>
      <c r="Q864" s="411"/>
      <c r="R864" s="411"/>
      <c r="S864" s="411"/>
      <c r="T864" s="411"/>
      <c r="U864" s="411"/>
      <c r="V864" s="411"/>
      <c r="W864" s="411"/>
      <c r="X864" s="411"/>
      <c r="Y864" s="411"/>
      <c r="Z864" s="411"/>
      <c r="AA864" s="411"/>
      <c r="AB864" s="411"/>
      <c r="AC864" s="411"/>
      <c r="AD864" s="411"/>
      <c r="AE864" s="411"/>
      <c r="AF864" s="411"/>
      <c r="AG864" s="411"/>
    </row>
    <row r="865" ht="14.25" customHeight="1">
      <c r="O865" s="411"/>
      <c r="P865" s="411"/>
      <c r="Q865" s="411"/>
      <c r="R865" s="411"/>
      <c r="S865" s="411"/>
      <c r="T865" s="411"/>
      <c r="U865" s="411"/>
      <c r="V865" s="411"/>
      <c r="W865" s="411"/>
      <c r="X865" s="411"/>
      <c r="Y865" s="411"/>
      <c r="Z865" s="411"/>
      <c r="AA865" s="411"/>
      <c r="AB865" s="411"/>
      <c r="AC865" s="411"/>
      <c r="AD865" s="411"/>
      <c r="AE865" s="411"/>
      <c r="AF865" s="411"/>
      <c r="AG865" s="411"/>
    </row>
    <row r="866" ht="14.25" customHeight="1">
      <c r="O866" s="411"/>
      <c r="P866" s="411"/>
      <c r="Q866" s="411"/>
      <c r="R866" s="411"/>
      <c r="S866" s="411"/>
      <c r="T866" s="411"/>
      <c r="U866" s="411"/>
      <c r="V866" s="411"/>
      <c r="W866" s="411"/>
      <c r="X866" s="411"/>
      <c r="Y866" s="411"/>
      <c r="Z866" s="411"/>
      <c r="AA866" s="411"/>
      <c r="AB866" s="411"/>
      <c r="AC866" s="411"/>
      <c r="AD866" s="411"/>
      <c r="AE866" s="411"/>
      <c r="AF866" s="411"/>
      <c r="AG866" s="411"/>
    </row>
    <row r="867" ht="14.25" customHeight="1">
      <c r="O867" s="411"/>
      <c r="P867" s="411"/>
      <c r="Q867" s="411"/>
      <c r="R867" s="411"/>
      <c r="S867" s="411"/>
      <c r="T867" s="411"/>
      <c r="U867" s="411"/>
      <c r="V867" s="411"/>
      <c r="W867" s="411"/>
      <c r="X867" s="411"/>
      <c r="Y867" s="411"/>
      <c r="Z867" s="411"/>
      <c r="AA867" s="411"/>
      <c r="AB867" s="411"/>
      <c r="AC867" s="411"/>
      <c r="AD867" s="411"/>
      <c r="AE867" s="411"/>
      <c r="AF867" s="411"/>
      <c r="AG867" s="411"/>
    </row>
    <row r="868" ht="14.25" customHeight="1">
      <c r="O868" s="411"/>
      <c r="P868" s="411"/>
      <c r="Q868" s="411"/>
      <c r="R868" s="411"/>
      <c r="S868" s="411"/>
      <c r="T868" s="411"/>
      <c r="U868" s="411"/>
      <c r="V868" s="411"/>
      <c r="W868" s="411"/>
      <c r="X868" s="411"/>
      <c r="Y868" s="411"/>
      <c r="Z868" s="411"/>
      <c r="AA868" s="411"/>
      <c r="AB868" s="411"/>
      <c r="AC868" s="411"/>
      <c r="AD868" s="411"/>
      <c r="AE868" s="411"/>
      <c r="AF868" s="411"/>
      <c r="AG868" s="411"/>
    </row>
    <row r="869" ht="14.25" customHeight="1">
      <c r="O869" s="411"/>
      <c r="P869" s="411"/>
      <c r="Q869" s="411"/>
      <c r="R869" s="411"/>
      <c r="S869" s="411"/>
      <c r="T869" s="411"/>
      <c r="U869" s="411"/>
      <c r="V869" s="411"/>
      <c r="W869" s="411"/>
      <c r="X869" s="411"/>
      <c r="Y869" s="411"/>
      <c r="Z869" s="411"/>
      <c r="AA869" s="411"/>
      <c r="AB869" s="411"/>
      <c r="AC869" s="411"/>
      <c r="AD869" s="411"/>
      <c r="AE869" s="411"/>
      <c r="AF869" s="411"/>
      <c r="AG869" s="411"/>
    </row>
    <row r="870" ht="14.25" customHeight="1">
      <c r="O870" s="411"/>
      <c r="P870" s="411"/>
      <c r="Q870" s="411"/>
      <c r="R870" s="411"/>
      <c r="S870" s="411"/>
      <c r="T870" s="411"/>
      <c r="U870" s="411"/>
      <c r="V870" s="411"/>
      <c r="W870" s="411"/>
      <c r="X870" s="411"/>
      <c r="Y870" s="411"/>
      <c r="Z870" s="411"/>
      <c r="AA870" s="411"/>
      <c r="AB870" s="411"/>
      <c r="AC870" s="411"/>
      <c r="AD870" s="411"/>
      <c r="AE870" s="411"/>
      <c r="AF870" s="411"/>
      <c r="AG870" s="411"/>
    </row>
    <row r="871" ht="14.25" customHeight="1">
      <c r="O871" s="411"/>
      <c r="P871" s="411"/>
      <c r="Q871" s="411"/>
      <c r="R871" s="411"/>
      <c r="S871" s="411"/>
      <c r="T871" s="411"/>
      <c r="U871" s="411"/>
      <c r="V871" s="411"/>
      <c r="W871" s="411"/>
      <c r="X871" s="411"/>
      <c r="Y871" s="411"/>
      <c r="Z871" s="411"/>
      <c r="AA871" s="411"/>
      <c r="AB871" s="411"/>
      <c r="AC871" s="411"/>
      <c r="AD871" s="411"/>
      <c r="AE871" s="411"/>
      <c r="AF871" s="411"/>
      <c r="AG871" s="411"/>
    </row>
    <row r="872" ht="14.25" customHeight="1">
      <c r="O872" s="411"/>
      <c r="P872" s="411"/>
      <c r="Q872" s="411"/>
      <c r="R872" s="411"/>
      <c r="S872" s="411"/>
      <c r="T872" s="411"/>
      <c r="U872" s="411"/>
      <c r="V872" s="411"/>
      <c r="W872" s="411"/>
      <c r="X872" s="411"/>
      <c r="Y872" s="411"/>
      <c r="Z872" s="411"/>
      <c r="AA872" s="411"/>
      <c r="AB872" s="411"/>
      <c r="AC872" s="411"/>
      <c r="AD872" s="411"/>
      <c r="AE872" s="411"/>
      <c r="AF872" s="411"/>
      <c r="AG872" s="411"/>
    </row>
    <row r="873" ht="14.25" customHeight="1">
      <c r="O873" s="411"/>
      <c r="P873" s="411"/>
      <c r="Q873" s="411"/>
      <c r="R873" s="411"/>
      <c r="S873" s="411"/>
      <c r="T873" s="411"/>
      <c r="U873" s="411"/>
      <c r="V873" s="411"/>
      <c r="W873" s="411"/>
      <c r="X873" s="411"/>
      <c r="Y873" s="411"/>
      <c r="Z873" s="411"/>
      <c r="AA873" s="411"/>
      <c r="AB873" s="411"/>
      <c r="AC873" s="411"/>
      <c r="AD873" s="411"/>
      <c r="AE873" s="411"/>
      <c r="AF873" s="411"/>
      <c r="AG873" s="411"/>
    </row>
    <row r="874" ht="14.25" customHeight="1">
      <c r="O874" s="411"/>
      <c r="P874" s="411"/>
      <c r="Q874" s="411"/>
      <c r="R874" s="411"/>
      <c r="S874" s="411"/>
      <c r="T874" s="411"/>
      <c r="U874" s="411"/>
      <c r="V874" s="411"/>
      <c r="W874" s="411"/>
      <c r="X874" s="411"/>
      <c r="Y874" s="411"/>
      <c r="Z874" s="411"/>
      <c r="AA874" s="411"/>
      <c r="AB874" s="411"/>
      <c r="AC874" s="411"/>
      <c r="AD874" s="411"/>
      <c r="AE874" s="411"/>
      <c r="AF874" s="411"/>
      <c r="AG874" s="411"/>
    </row>
    <row r="875" ht="14.25" customHeight="1">
      <c r="O875" s="411"/>
      <c r="P875" s="411"/>
      <c r="Q875" s="411"/>
      <c r="R875" s="411"/>
      <c r="S875" s="411"/>
      <c r="T875" s="411"/>
      <c r="U875" s="411"/>
      <c r="V875" s="411"/>
      <c r="W875" s="411"/>
      <c r="X875" s="411"/>
      <c r="Y875" s="411"/>
      <c r="Z875" s="411"/>
      <c r="AA875" s="411"/>
      <c r="AB875" s="411"/>
      <c r="AC875" s="411"/>
      <c r="AD875" s="411"/>
      <c r="AE875" s="411"/>
      <c r="AF875" s="411"/>
      <c r="AG875" s="411"/>
    </row>
    <row r="876" ht="14.25" customHeight="1">
      <c r="O876" s="411"/>
      <c r="P876" s="411"/>
      <c r="Q876" s="411"/>
      <c r="R876" s="411"/>
      <c r="S876" s="411"/>
      <c r="T876" s="411"/>
      <c r="U876" s="411"/>
      <c r="V876" s="411"/>
      <c r="W876" s="411"/>
      <c r="X876" s="411"/>
      <c r="Y876" s="411"/>
      <c r="Z876" s="411"/>
      <c r="AA876" s="411"/>
      <c r="AB876" s="411"/>
      <c r="AC876" s="411"/>
      <c r="AD876" s="411"/>
      <c r="AE876" s="411"/>
      <c r="AF876" s="411"/>
      <c r="AG876" s="411"/>
    </row>
    <row r="877" ht="14.25" customHeight="1">
      <c r="O877" s="411"/>
      <c r="P877" s="411"/>
      <c r="Q877" s="411"/>
      <c r="R877" s="411"/>
      <c r="S877" s="411"/>
      <c r="T877" s="411"/>
      <c r="U877" s="411"/>
      <c r="V877" s="411"/>
      <c r="W877" s="411"/>
      <c r="X877" s="411"/>
      <c r="Y877" s="411"/>
      <c r="Z877" s="411"/>
      <c r="AA877" s="411"/>
      <c r="AB877" s="411"/>
      <c r="AC877" s="411"/>
      <c r="AD877" s="411"/>
      <c r="AE877" s="411"/>
      <c r="AF877" s="411"/>
      <c r="AG877" s="411"/>
    </row>
    <row r="878" ht="14.25" customHeight="1">
      <c r="O878" s="411"/>
      <c r="P878" s="411"/>
      <c r="Q878" s="411"/>
      <c r="R878" s="411"/>
      <c r="S878" s="411"/>
      <c r="T878" s="411"/>
      <c r="U878" s="411"/>
      <c r="V878" s="411"/>
      <c r="W878" s="411"/>
      <c r="X878" s="411"/>
      <c r="Y878" s="411"/>
      <c r="Z878" s="411"/>
      <c r="AA878" s="411"/>
      <c r="AB878" s="411"/>
      <c r="AC878" s="411"/>
      <c r="AD878" s="411"/>
      <c r="AE878" s="411"/>
      <c r="AF878" s="411"/>
      <c r="AG878" s="411"/>
    </row>
    <row r="879" ht="14.25" customHeight="1">
      <c r="O879" s="411"/>
      <c r="P879" s="411"/>
      <c r="Q879" s="411"/>
      <c r="R879" s="411"/>
      <c r="S879" s="411"/>
      <c r="T879" s="411"/>
      <c r="U879" s="411"/>
      <c r="V879" s="411"/>
      <c r="W879" s="411"/>
      <c r="X879" s="411"/>
      <c r="Y879" s="411"/>
      <c r="Z879" s="411"/>
      <c r="AA879" s="411"/>
      <c r="AB879" s="411"/>
      <c r="AC879" s="411"/>
      <c r="AD879" s="411"/>
      <c r="AE879" s="411"/>
      <c r="AF879" s="411"/>
      <c r="AG879" s="411"/>
    </row>
    <row r="880" ht="14.25" customHeight="1">
      <c r="O880" s="411"/>
      <c r="P880" s="411"/>
      <c r="Q880" s="411"/>
      <c r="R880" s="411"/>
      <c r="S880" s="411"/>
      <c r="T880" s="411"/>
      <c r="U880" s="411"/>
      <c r="V880" s="411"/>
      <c r="W880" s="411"/>
      <c r="X880" s="411"/>
      <c r="Y880" s="411"/>
      <c r="Z880" s="411"/>
      <c r="AA880" s="411"/>
      <c r="AB880" s="411"/>
      <c r="AC880" s="411"/>
      <c r="AD880" s="411"/>
      <c r="AE880" s="411"/>
      <c r="AF880" s="411"/>
      <c r="AG880" s="411"/>
    </row>
    <row r="881" ht="14.25" customHeight="1">
      <c r="O881" s="411"/>
      <c r="P881" s="411"/>
      <c r="Q881" s="411"/>
      <c r="R881" s="411"/>
      <c r="S881" s="411"/>
      <c r="T881" s="411"/>
      <c r="U881" s="411"/>
      <c r="V881" s="411"/>
      <c r="W881" s="411"/>
      <c r="X881" s="411"/>
      <c r="Y881" s="411"/>
      <c r="Z881" s="411"/>
      <c r="AA881" s="411"/>
      <c r="AB881" s="411"/>
      <c r="AC881" s="411"/>
      <c r="AD881" s="411"/>
      <c r="AE881" s="411"/>
      <c r="AF881" s="411"/>
      <c r="AG881" s="411"/>
    </row>
    <row r="882" ht="14.25" customHeight="1">
      <c r="O882" s="411"/>
      <c r="P882" s="411"/>
      <c r="Q882" s="411"/>
      <c r="R882" s="411"/>
      <c r="S882" s="411"/>
      <c r="T882" s="411"/>
      <c r="U882" s="411"/>
      <c r="V882" s="411"/>
      <c r="W882" s="411"/>
      <c r="X882" s="411"/>
      <c r="Y882" s="411"/>
      <c r="Z882" s="411"/>
      <c r="AA882" s="411"/>
      <c r="AB882" s="411"/>
      <c r="AC882" s="411"/>
      <c r="AD882" s="411"/>
      <c r="AE882" s="411"/>
      <c r="AF882" s="411"/>
      <c r="AG882" s="411"/>
    </row>
    <row r="883" ht="14.25" customHeight="1">
      <c r="O883" s="411"/>
      <c r="P883" s="411"/>
      <c r="Q883" s="411"/>
      <c r="R883" s="411"/>
      <c r="S883" s="411"/>
      <c r="T883" s="411"/>
      <c r="U883" s="411"/>
      <c r="V883" s="411"/>
      <c r="W883" s="411"/>
      <c r="X883" s="411"/>
      <c r="Y883" s="411"/>
      <c r="Z883" s="411"/>
      <c r="AA883" s="411"/>
      <c r="AB883" s="411"/>
      <c r="AC883" s="411"/>
      <c r="AD883" s="411"/>
      <c r="AE883" s="411"/>
      <c r="AF883" s="411"/>
      <c r="AG883" s="411"/>
    </row>
    <row r="884" ht="14.25" customHeight="1">
      <c r="O884" s="411"/>
      <c r="P884" s="411"/>
      <c r="Q884" s="411"/>
      <c r="R884" s="411"/>
      <c r="S884" s="411"/>
      <c r="T884" s="411"/>
      <c r="U884" s="411"/>
      <c r="V884" s="411"/>
      <c r="W884" s="411"/>
      <c r="X884" s="411"/>
      <c r="Y884" s="411"/>
      <c r="Z884" s="411"/>
      <c r="AA884" s="411"/>
      <c r="AB884" s="411"/>
      <c r="AC884" s="411"/>
      <c r="AD884" s="411"/>
      <c r="AE884" s="411"/>
      <c r="AF884" s="411"/>
      <c r="AG884" s="411"/>
    </row>
    <row r="885" ht="14.25" customHeight="1">
      <c r="O885" s="411"/>
      <c r="P885" s="411"/>
      <c r="Q885" s="411"/>
      <c r="R885" s="411"/>
      <c r="S885" s="411"/>
      <c r="T885" s="411"/>
      <c r="U885" s="411"/>
      <c r="V885" s="411"/>
      <c r="W885" s="411"/>
      <c r="X885" s="411"/>
      <c r="Y885" s="411"/>
      <c r="Z885" s="411"/>
      <c r="AA885" s="411"/>
      <c r="AB885" s="411"/>
      <c r="AC885" s="411"/>
      <c r="AD885" s="411"/>
      <c r="AE885" s="411"/>
      <c r="AF885" s="411"/>
      <c r="AG885" s="411"/>
    </row>
    <row r="886" ht="14.25" customHeight="1">
      <c r="O886" s="411"/>
      <c r="P886" s="411"/>
      <c r="Q886" s="411"/>
      <c r="R886" s="411"/>
      <c r="S886" s="411"/>
      <c r="T886" s="411"/>
      <c r="U886" s="411"/>
      <c r="V886" s="411"/>
      <c r="W886" s="411"/>
      <c r="X886" s="411"/>
      <c r="Y886" s="411"/>
      <c r="Z886" s="411"/>
      <c r="AA886" s="411"/>
      <c r="AB886" s="411"/>
      <c r="AC886" s="411"/>
      <c r="AD886" s="411"/>
      <c r="AE886" s="411"/>
      <c r="AF886" s="411"/>
      <c r="AG886" s="411"/>
    </row>
    <row r="887" ht="14.25" customHeight="1">
      <c r="O887" s="411"/>
      <c r="P887" s="411"/>
      <c r="Q887" s="411"/>
      <c r="R887" s="411"/>
      <c r="S887" s="411"/>
      <c r="T887" s="411"/>
      <c r="U887" s="411"/>
      <c r="V887" s="411"/>
      <c r="W887" s="411"/>
      <c r="X887" s="411"/>
      <c r="Y887" s="411"/>
      <c r="Z887" s="411"/>
      <c r="AA887" s="411"/>
      <c r="AB887" s="411"/>
      <c r="AC887" s="411"/>
      <c r="AD887" s="411"/>
      <c r="AE887" s="411"/>
      <c r="AF887" s="411"/>
      <c r="AG887" s="411"/>
    </row>
    <row r="888" ht="14.25" customHeight="1">
      <c r="O888" s="411"/>
      <c r="P888" s="411"/>
      <c r="Q888" s="411"/>
      <c r="R888" s="411"/>
      <c r="S888" s="411"/>
      <c r="T888" s="411"/>
      <c r="U888" s="411"/>
      <c r="V888" s="411"/>
      <c r="W888" s="411"/>
      <c r="X888" s="411"/>
      <c r="Y888" s="411"/>
      <c r="Z888" s="411"/>
      <c r="AA888" s="411"/>
      <c r="AB888" s="411"/>
      <c r="AC888" s="411"/>
      <c r="AD888" s="411"/>
      <c r="AE888" s="411"/>
      <c r="AF888" s="411"/>
      <c r="AG888" s="411"/>
    </row>
    <row r="889" ht="14.25" customHeight="1">
      <c r="O889" s="411"/>
      <c r="P889" s="411"/>
      <c r="Q889" s="411"/>
      <c r="R889" s="411"/>
      <c r="S889" s="411"/>
      <c r="T889" s="411"/>
      <c r="U889" s="411"/>
      <c r="V889" s="411"/>
      <c r="W889" s="411"/>
      <c r="X889" s="411"/>
      <c r="Y889" s="411"/>
      <c r="Z889" s="411"/>
      <c r="AA889" s="411"/>
      <c r="AB889" s="411"/>
      <c r="AC889" s="411"/>
      <c r="AD889" s="411"/>
      <c r="AE889" s="411"/>
      <c r="AF889" s="411"/>
      <c r="AG889" s="411"/>
    </row>
    <row r="890" ht="14.25" customHeight="1">
      <c r="O890" s="411"/>
      <c r="P890" s="411"/>
      <c r="Q890" s="411"/>
      <c r="R890" s="411"/>
      <c r="S890" s="411"/>
      <c r="T890" s="411"/>
      <c r="U890" s="411"/>
      <c r="V890" s="411"/>
      <c r="W890" s="411"/>
      <c r="X890" s="411"/>
      <c r="Y890" s="411"/>
      <c r="Z890" s="411"/>
      <c r="AA890" s="411"/>
      <c r="AB890" s="411"/>
      <c r="AC890" s="411"/>
      <c r="AD890" s="411"/>
      <c r="AE890" s="411"/>
      <c r="AF890" s="411"/>
      <c r="AG890" s="411"/>
    </row>
    <row r="891" ht="14.25" customHeight="1">
      <c r="O891" s="411"/>
      <c r="P891" s="411"/>
      <c r="Q891" s="411"/>
      <c r="R891" s="411"/>
      <c r="S891" s="411"/>
      <c r="T891" s="411"/>
      <c r="U891" s="411"/>
      <c r="V891" s="411"/>
      <c r="W891" s="411"/>
      <c r="X891" s="411"/>
      <c r="Y891" s="411"/>
      <c r="Z891" s="411"/>
      <c r="AA891" s="411"/>
      <c r="AB891" s="411"/>
      <c r="AC891" s="411"/>
      <c r="AD891" s="411"/>
      <c r="AE891" s="411"/>
      <c r="AF891" s="411"/>
      <c r="AG891" s="411"/>
    </row>
    <row r="892" ht="14.25" customHeight="1">
      <c r="O892" s="411"/>
      <c r="P892" s="411"/>
      <c r="Q892" s="411"/>
      <c r="R892" s="411"/>
      <c r="S892" s="411"/>
      <c r="T892" s="411"/>
      <c r="U892" s="411"/>
      <c r="V892" s="411"/>
      <c r="W892" s="411"/>
      <c r="X892" s="411"/>
      <c r="Y892" s="411"/>
      <c r="Z892" s="411"/>
      <c r="AA892" s="411"/>
      <c r="AB892" s="411"/>
      <c r="AC892" s="411"/>
      <c r="AD892" s="411"/>
      <c r="AE892" s="411"/>
      <c r="AF892" s="411"/>
      <c r="AG892" s="411"/>
    </row>
    <row r="893" ht="14.25" customHeight="1">
      <c r="O893" s="411"/>
      <c r="P893" s="411"/>
      <c r="Q893" s="411"/>
      <c r="R893" s="411"/>
      <c r="S893" s="411"/>
      <c r="T893" s="411"/>
      <c r="U893" s="411"/>
      <c r="V893" s="411"/>
      <c r="W893" s="411"/>
      <c r="X893" s="411"/>
      <c r="Y893" s="411"/>
      <c r="Z893" s="411"/>
      <c r="AA893" s="411"/>
      <c r="AB893" s="411"/>
      <c r="AC893" s="411"/>
      <c r="AD893" s="411"/>
      <c r="AE893" s="411"/>
      <c r="AF893" s="411"/>
      <c r="AG893" s="411"/>
    </row>
    <row r="894" ht="14.25" customHeight="1">
      <c r="O894" s="411"/>
      <c r="P894" s="411"/>
      <c r="Q894" s="411"/>
      <c r="R894" s="411"/>
      <c r="S894" s="411"/>
      <c r="T894" s="411"/>
      <c r="U894" s="411"/>
      <c r="V894" s="411"/>
      <c r="W894" s="411"/>
      <c r="X894" s="411"/>
      <c r="Y894" s="411"/>
      <c r="Z894" s="411"/>
      <c r="AA894" s="411"/>
      <c r="AB894" s="411"/>
      <c r="AC894" s="411"/>
      <c r="AD894" s="411"/>
      <c r="AE894" s="411"/>
      <c r="AF894" s="411"/>
      <c r="AG894" s="411"/>
    </row>
    <row r="895" ht="14.25" customHeight="1">
      <c r="O895" s="411"/>
      <c r="P895" s="411"/>
      <c r="Q895" s="411"/>
      <c r="R895" s="411"/>
      <c r="S895" s="411"/>
      <c r="T895" s="411"/>
      <c r="U895" s="411"/>
      <c r="V895" s="411"/>
      <c r="W895" s="411"/>
      <c r="X895" s="411"/>
      <c r="Y895" s="411"/>
      <c r="Z895" s="411"/>
      <c r="AA895" s="411"/>
      <c r="AB895" s="411"/>
      <c r="AC895" s="411"/>
      <c r="AD895" s="411"/>
      <c r="AE895" s="411"/>
      <c r="AF895" s="411"/>
      <c r="AG895" s="411"/>
    </row>
    <row r="896" ht="14.25" customHeight="1">
      <c r="O896" s="411"/>
      <c r="P896" s="411"/>
      <c r="Q896" s="411"/>
      <c r="R896" s="411"/>
      <c r="S896" s="411"/>
      <c r="T896" s="411"/>
      <c r="U896" s="411"/>
      <c r="V896" s="411"/>
      <c r="W896" s="411"/>
      <c r="X896" s="411"/>
      <c r="Y896" s="411"/>
      <c r="Z896" s="411"/>
      <c r="AA896" s="411"/>
      <c r="AB896" s="411"/>
      <c r="AC896" s="411"/>
      <c r="AD896" s="411"/>
      <c r="AE896" s="411"/>
      <c r="AF896" s="411"/>
      <c r="AG896" s="411"/>
    </row>
    <row r="897" ht="14.25" customHeight="1">
      <c r="O897" s="411"/>
      <c r="P897" s="411"/>
      <c r="Q897" s="411"/>
      <c r="R897" s="411"/>
      <c r="S897" s="411"/>
      <c r="T897" s="411"/>
      <c r="U897" s="411"/>
      <c r="V897" s="411"/>
      <c r="W897" s="411"/>
      <c r="X897" s="411"/>
      <c r="Y897" s="411"/>
      <c r="Z897" s="411"/>
      <c r="AA897" s="411"/>
      <c r="AB897" s="411"/>
      <c r="AC897" s="411"/>
      <c r="AD897" s="411"/>
      <c r="AE897" s="411"/>
      <c r="AF897" s="411"/>
      <c r="AG897" s="411"/>
    </row>
    <row r="898" ht="14.25" customHeight="1">
      <c r="O898" s="411"/>
      <c r="P898" s="411"/>
      <c r="Q898" s="411"/>
      <c r="R898" s="411"/>
      <c r="S898" s="411"/>
      <c r="T898" s="411"/>
      <c r="U898" s="411"/>
      <c r="V898" s="411"/>
      <c r="W898" s="411"/>
      <c r="X898" s="411"/>
      <c r="Y898" s="411"/>
      <c r="Z898" s="411"/>
      <c r="AA898" s="411"/>
      <c r="AB898" s="411"/>
      <c r="AC898" s="411"/>
      <c r="AD898" s="411"/>
      <c r="AE898" s="411"/>
      <c r="AF898" s="411"/>
      <c r="AG898" s="411"/>
    </row>
    <row r="899" ht="14.25" customHeight="1">
      <c r="O899" s="411"/>
      <c r="P899" s="411"/>
      <c r="Q899" s="411"/>
      <c r="R899" s="411"/>
      <c r="S899" s="411"/>
      <c r="T899" s="411"/>
      <c r="U899" s="411"/>
      <c r="V899" s="411"/>
      <c r="W899" s="411"/>
      <c r="X899" s="411"/>
      <c r="Y899" s="411"/>
      <c r="Z899" s="411"/>
      <c r="AA899" s="411"/>
      <c r="AB899" s="411"/>
      <c r="AC899" s="411"/>
      <c r="AD899" s="411"/>
      <c r="AE899" s="411"/>
      <c r="AF899" s="411"/>
      <c r="AG899" s="411"/>
    </row>
    <row r="900" ht="14.25" customHeight="1">
      <c r="O900" s="411"/>
      <c r="P900" s="411"/>
      <c r="Q900" s="411"/>
      <c r="R900" s="411"/>
      <c r="S900" s="411"/>
      <c r="T900" s="411"/>
      <c r="U900" s="411"/>
      <c r="V900" s="411"/>
      <c r="W900" s="411"/>
      <c r="X900" s="411"/>
      <c r="Y900" s="411"/>
      <c r="Z900" s="411"/>
      <c r="AA900" s="411"/>
      <c r="AB900" s="411"/>
      <c r="AC900" s="411"/>
      <c r="AD900" s="411"/>
      <c r="AE900" s="411"/>
      <c r="AF900" s="411"/>
      <c r="AG900" s="411"/>
    </row>
    <row r="901" ht="14.25" customHeight="1">
      <c r="O901" s="411"/>
      <c r="P901" s="411"/>
      <c r="Q901" s="411"/>
      <c r="R901" s="411"/>
      <c r="S901" s="411"/>
      <c r="T901" s="411"/>
      <c r="U901" s="411"/>
      <c r="V901" s="411"/>
      <c r="W901" s="411"/>
      <c r="X901" s="411"/>
      <c r="Y901" s="411"/>
      <c r="Z901" s="411"/>
      <c r="AA901" s="411"/>
      <c r="AB901" s="411"/>
      <c r="AC901" s="411"/>
      <c r="AD901" s="411"/>
      <c r="AE901" s="411"/>
      <c r="AF901" s="411"/>
      <c r="AG901" s="411"/>
    </row>
    <row r="902" ht="14.25" customHeight="1">
      <c r="O902" s="411"/>
      <c r="P902" s="411"/>
      <c r="Q902" s="411"/>
      <c r="R902" s="411"/>
      <c r="S902" s="411"/>
      <c r="T902" s="411"/>
      <c r="U902" s="411"/>
      <c r="V902" s="411"/>
      <c r="W902" s="411"/>
      <c r="X902" s="411"/>
      <c r="Y902" s="411"/>
      <c r="Z902" s="411"/>
      <c r="AA902" s="411"/>
      <c r="AB902" s="411"/>
      <c r="AC902" s="411"/>
      <c r="AD902" s="411"/>
      <c r="AE902" s="411"/>
      <c r="AF902" s="411"/>
      <c r="AG902" s="411"/>
    </row>
    <row r="903" ht="14.25" customHeight="1">
      <c r="O903" s="411"/>
      <c r="P903" s="411"/>
      <c r="Q903" s="411"/>
      <c r="R903" s="411"/>
      <c r="S903" s="411"/>
      <c r="T903" s="411"/>
      <c r="U903" s="411"/>
      <c r="V903" s="411"/>
      <c r="W903" s="411"/>
      <c r="X903" s="411"/>
      <c r="Y903" s="411"/>
      <c r="Z903" s="411"/>
      <c r="AA903" s="411"/>
      <c r="AB903" s="411"/>
      <c r="AC903" s="411"/>
      <c r="AD903" s="411"/>
      <c r="AE903" s="411"/>
      <c r="AF903" s="411"/>
      <c r="AG903" s="411"/>
    </row>
    <row r="904" ht="14.25" customHeight="1">
      <c r="O904" s="411"/>
      <c r="P904" s="411"/>
      <c r="Q904" s="411"/>
      <c r="R904" s="411"/>
      <c r="S904" s="411"/>
      <c r="T904" s="411"/>
      <c r="U904" s="411"/>
      <c r="V904" s="411"/>
      <c r="W904" s="411"/>
      <c r="X904" s="411"/>
      <c r="Y904" s="411"/>
      <c r="Z904" s="411"/>
      <c r="AA904" s="411"/>
      <c r="AB904" s="411"/>
      <c r="AC904" s="411"/>
      <c r="AD904" s="411"/>
      <c r="AE904" s="411"/>
      <c r="AF904" s="411"/>
      <c r="AG904" s="411"/>
    </row>
    <row r="905" ht="14.25" customHeight="1">
      <c r="O905" s="411"/>
      <c r="P905" s="411"/>
      <c r="Q905" s="411"/>
      <c r="R905" s="411"/>
      <c r="S905" s="411"/>
      <c r="T905" s="411"/>
      <c r="U905" s="411"/>
      <c r="V905" s="411"/>
      <c r="W905" s="411"/>
      <c r="X905" s="411"/>
      <c r="Y905" s="411"/>
      <c r="Z905" s="411"/>
      <c r="AA905" s="411"/>
      <c r="AB905" s="411"/>
      <c r="AC905" s="411"/>
      <c r="AD905" s="411"/>
      <c r="AE905" s="411"/>
      <c r="AF905" s="411"/>
      <c r="AG905" s="411"/>
    </row>
    <row r="906" ht="14.25" customHeight="1">
      <c r="O906" s="411"/>
      <c r="P906" s="411"/>
      <c r="Q906" s="411"/>
      <c r="R906" s="411"/>
      <c r="S906" s="411"/>
      <c r="T906" s="411"/>
      <c r="U906" s="411"/>
      <c r="V906" s="411"/>
      <c r="W906" s="411"/>
      <c r="X906" s="411"/>
      <c r="Y906" s="411"/>
      <c r="Z906" s="411"/>
      <c r="AA906" s="411"/>
      <c r="AB906" s="411"/>
      <c r="AC906" s="411"/>
      <c r="AD906" s="411"/>
      <c r="AE906" s="411"/>
      <c r="AF906" s="411"/>
      <c r="AG906" s="411"/>
    </row>
    <row r="907" ht="14.25" customHeight="1">
      <c r="O907" s="411"/>
      <c r="P907" s="411"/>
      <c r="Q907" s="411"/>
      <c r="R907" s="411"/>
      <c r="S907" s="411"/>
      <c r="T907" s="411"/>
      <c r="U907" s="411"/>
      <c r="V907" s="411"/>
      <c r="W907" s="411"/>
      <c r="X907" s="411"/>
      <c r="Y907" s="411"/>
      <c r="Z907" s="411"/>
      <c r="AA907" s="411"/>
      <c r="AB907" s="411"/>
      <c r="AC907" s="411"/>
      <c r="AD907" s="411"/>
      <c r="AE907" s="411"/>
      <c r="AF907" s="411"/>
      <c r="AG907" s="411"/>
    </row>
    <row r="908" ht="14.25" customHeight="1">
      <c r="O908" s="411"/>
      <c r="P908" s="411"/>
      <c r="Q908" s="411"/>
      <c r="R908" s="411"/>
      <c r="S908" s="411"/>
      <c r="T908" s="411"/>
      <c r="U908" s="411"/>
      <c r="V908" s="411"/>
      <c r="W908" s="411"/>
      <c r="X908" s="411"/>
      <c r="Y908" s="411"/>
      <c r="Z908" s="411"/>
      <c r="AA908" s="411"/>
      <c r="AB908" s="411"/>
      <c r="AC908" s="411"/>
      <c r="AD908" s="411"/>
      <c r="AE908" s="411"/>
      <c r="AF908" s="411"/>
      <c r="AG908" s="411"/>
    </row>
    <row r="909" ht="14.25" customHeight="1">
      <c r="O909" s="411"/>
      <c r="P909" s="411"/>
      <c r="Q909" s="411"/>
      <c r="R909" s="411"/>
      <c r="S909" s="411"/>
      <c r="T909" s="411"/>
      <c r="U909" s="411"/>
      <c r="V909" s="411"/>
      <c r="W909" s="411"/>
      <c r="X909" s="411"/>
      <c r="Y909" s="411"/>
      <c r="Z909" s="411"/>
      <c r="AA909" s="411"/>
      <c r="AB909" s="411"/>
      <c r="AC909" s="411"/>
      <c r="AD909" s="411"/>
      <c r="AE909" s="411"/>
      <c r="AF909" s="411"/>
      <c r="AG909" s="411"/>
    </row>
    <row r="910" ht="14.25" customHeight="1">
      <c r="O910" s="411"/>
      <c r="P910" s="411"/>
      <c r="Q910" s="411"/>
      <c r="R910" s="411"/>
      <c r="S910" s="411"/>
      <c r="T910" s="411"/>
      <c r="U910" s="411"/>
      <c r="V910" s="411"/>
      <c r="W910" s="411"/>
      <c r="X910" s="411"/>
      <c r="Y910" s="411"/>
      <c r="Z910" s="411"/>
      <c r="AA910" s="411"/>
      <c r="AB910" s="411"/>
      <c r="AC910" s="411"/>
      <c r="AD910" s="411"/>
      <c r="AE910" s="411"/>
      <c r="AF910" s="411"/>
      <c r="AG910" s="411"/>
    </row>
    <row r="911" ht="14.25" customHeight="1">
      <c r="O911" s="411"/>
      <c r="P911" s="411"/>
      <c r="Q911" s="411"/>
      <c r="R911" s="411"/>
      <c r="S911" s="411"/>
      <c r="T911" s="411"/>
      <c r="U911" s="411"/>
      <c r="V911" s="411"/>
      <c r="W911" s="411"/>
      <c r="X911" s="411"/>
      <c r="Y911" s="411"/>
      <c r="Z911" s="411"/>
      <c r="AA911" s="411"/>
      <c r="AB911" s="411"/>
      <c r="AC911" s="411"/>
      <c r="AD911" s="411"/>
      <c r="AE911" s="411"/>
      <c r="AF911" s="411"/>
      <c r="AG911" s="411"/>
    </row>
    <row r="912" ht="14.25" customHeight="1">
      <c r="O912" s="411"/>
      <c r="P912" s="411"/>
      <c r="Q912" s="411"/>
      <c r="R912" s="411"/>
      <c r="S912" s="411"/>
      <c r="T912" s="411"/>
      <c r="U912" s="411"/>
      <c r="V912" s="411"/>
      <c r="W912" s="411"/>
      <c r="X912" s="411"/>
      <c r="Y912" s="411"/>
      <c r="Z912" s="411"/>
      <c r="AA912" s="411"/>
      <c r="AB912" s="411"/>
      <c r="AC912" s="411"/>
      <c r="AD912" s="411"/>
      <c r="AE912" s="411"/>
      <c r="AF912" s="411"/>
      <c r="AG912" s="411"/>
    </row>
    <row r="913" ht="14.25" customHeight="1">
      <c r="O913" s="411"/>
      <c r="P913" s="411"/>
      <c r="Q913" s="411"/>
      <c r="R913" s="411"/>
      <c r="S913" s="411"/>
      <c r="T913" s="411"/>
      <c r="U913" s="411"/>
      <c r="V913" s="411"/>
      <c r="W913" s="411"/>
      <c r="X913" s="411"/>
      <c r="Y913" s="411"/>
      <c r="Z913" s="411"/>
      <c r="AA913" s="411"/>
      <c r="AB913" s="411"/>
      <c r="AC913" s="411"/>
      <c r="AD913" s="411"/>
      <c r="AE913" s="411"/>
      <c r="AF913" s="411"/>
      <c r="AG913" s="411"/>
    </row>
    <row r="914" ht="14.25" customHeight="1">
      <c r="O914" s="411"/>
      <c r="P914" s="411"/>
      <c r="Q914" s="411"/>
      <c r="R914" s="411"/>
      <c r="S914" s="411"/>
      <c r="T914" s="411"/>
      <c r="U914" s="411"/>
      <c r="V914" s="411"/>
      <c r="W914" s="411"/>
      <c r="X914" s="411"/>
      <c r="Y914" s="411"/>
      <c r="Z914" s="411"/>
      <c r="AA914" s="411"/>
      <c r="AB914" s="411"/>
      <c r="AC914" s="411"/>
      <c r="AD914" s="411"/>
      <c r="AE914" s="411"/>
      <c r="AF914" s="411"/>
      <c r="AG914" s="411"/>
    </row>
    <row r="915" ht="14.25" customHeight="1">
      <c r="O915" s="411"/>
      <c r="P915" s="411"/>
      <c r="Q915" s="411"/>
      <c r="R915" s="411"/>
      <c r="S915" s="411"/>
      <c r="T915" s="411"/>
      <c r="U915" s="411"/>
      <c r="V915" s="411"/>
      <c r="W915" s="411"/>
      <c r="X915" s="411"/>
      <c r="Y915" s="411"/>
      <c r="Z915" s="411"/>
      <c r="AA915" s="411"/>
      <c r="AB915" s="411"/>
      <c r="AC915" s="411"/>
      <c r="AD915" s="411"/>
      <c r="AE915" s="411"/>
      <c r="AF915" s="411"/>
      <c r="AG915" s="411"/>
    </row>
    <row r="916" ht="14.25" customHeight="1">
      <c r="O916" s="411"/>
      <c r="P916" s="411"/>
      <c r="Q916" s="411"/>
      <c r="R916" s="411"/>
      <c r="S916" s="411"/>
      <c r="T916" s="411"/>
      <c r="U916" s="411"/>
      <c r="V916" s="411"/>
      <c r="W916" s="411"/>
      <c r="X916" s="411"/>
      <c r="Y916" s="411"/>
      <c r="Z916" s="411"/>
      <c r="AA916" s="411"/>
      <c r="AB916" s="411"/>
      <c r="AC916" s="411"/>
      <c r="AD916" s="411"/>
      <c r="AE916" s="411"/>
      <c r="AF916" s="411"/>
      <c r="AG916" s="411"/>
    </row>
    <row r="917" ht="14.25" customHeight="1">
      <c r="O917" s="411"/>
      <c r="P917" s="411"/>
      <c r="Q917" s="411"/>
      <c r="R917" s="411"/>
      <c r="S917" s="411"/>
      <c r="T917" s="411"/>
      <c r="U917" s="411"/>
      <c r="V917" s="411"/>
      <c r="W917" s="411"/>
      <c r="X917" s="411"/>
      <c r="Y917" s="411"/>
      <c r="Z917" s="411"/>
      <c r="AA917" s="411"/>
      <c r="AB917" s="411"/>
      <c r="AC917" s="411"/>
      <c r="AD917" s="411"/>
      <c r="AE917" s="411"/>
      <c r="AF917" s="411"/>
      <c r="AG917" s="411"/>
    </row>
    <row r="918" ht="14.25" customHeight="1">
      <c r="O918" s="411"/>
      <c r="P918" s="411"/>
      <c r="Q918" s="411"/>
      <c r="R918" s="411"/>
      <c r="S918" s="411"/>
      <c r="T918" s="411"/>
      <c r="U918" s="411"/>
      <c r="V918" s="411"/>
      <c r="W918" s="411"/>
      <c r="X918" s="411"/>
      <c r="Y918" s="411"/>
      <c r="Z918" s="411"/>
      <c r="AA918" s="411"/>
      <c r="AB918" s="411"/>
      <c r="AC918" s="411"/>
      <c r="AD918" s="411"/>
      <c r="AE918" s="411"/>
      <c r="AF918" s="411"/>
      <c r="AG918" s="411"/>
    </row>
    <row r="919" ht="14.25" customHeight="1">
      <c r="O919" s="411"/>
      <c r="P919" s="411"/>
      <c r="Q919" s="411"/>
      <c r="R919" s="411"/>
      <c r="S919" s="411"/>
      <c r="T919" s="411"/>
      <c r="U919" s="411"/>
      <c r="V919" s="411"/>
      <c r="W919" s="411"/>
      <c r="X919" s="411"/>
      <c r="Y919" s="411"/>
      <c r="Z919" s="411"/>
      <c r="AA919" s="411"/>
      <c r="AB919" s="411"/>
      <c r="AC919" s="411"/>
      <c r="AD919" s="411"/>
      <c r="AE919" s="411"/>
      <c r="AF919" s="411"/>
      <c r="AG919" s="411"/>
    </row>
    <row r="920" ht="14.25" customHeight="1">
      <c r="O920" s="411"/>
      <c r="P920" s="411"/>
      <c r="Q920" s="411"/>
      <c r="R920" s="411"/>
      <c r="S920" s="411"/>
      <c r="T920" s="411"/>
      <c r="U920" s="411"/>
      <c r="V920" s="411"/>
      <c r="W920" s="411"/>
      <c r="X920" s="411"/>
      <c r="Y920" s="411"/>
      <c r="Z920" s="411"/>
      <c r="AA920" s="411"/>
      <c r="AB920" s="411"/>
      <c r="AC920" s="411"/>
      <c r="AD920" s="411"/>
      <c r="AE920" s="411"/>
      <c r="AF920" s="411"/>
      <c r="AG920" s="411"/>
    </row>
    <row r="921" ht="14.25" customHeight="1">
      <c r="O921" s="411"/>
      <c r="P921" s="411"/>
      <c r="Q921" s="411"/>
      <c r="R921" s="411"/>
      <c r="S921" s="411"/>
      <c r="T921" s="411"/>
      <c r="U921" s="411"/>
      <c r="V921" s="411"/>
      <c r="W921" s="411"/>
      <c r="X921" s="411"/>
      <c r="Y921" s="411"/>
      <c r="Z921" s="411"/>
      <c r="AA921" s="411"/>
      <c r="AB921" s="411"/>
      <c r="AC921" s="411"/>
      <c r="AD921" s="411"/>
      <c r="AE921" s="411"/>
      <c r="AF921" s="411"/>
      <c r="AG921" s="411"/>
    </row>
    <row r="922" ht="14.25" customHeight="1">
      <c r="O922" s="411"/>
      <c r="P922" s="411"/>
      <c r="Q922" s="411"/>
      <c r="R922" s="411"/>
      <c r="S922" s="411"/>
      <c r="T922" s="411"/>
      <c r="U922" s="411"/>
      <c r="V922" s="411"/>
      <c r="W922" s="411"/>
      <c r="X922" s="411"/>
      <c r="Y922" s="411"/>
      <c r="Z922" s="411"/>
      <c r="AA922" s="411"/>
      <c r="AB922" s="411"/>
      <c r="AC922" s="411"/>
      <c r="AD922" s="411"/>
      <c r="AE922" s="411"/>
      <c r="AF922" s="411"/>
      <c r="AG922" s="411"/>
    </row>
    <row r="923" ht="14.25" customHeight="1">
      <c r="O923" s="411"/>
      <c r="P923" s="411"/>
      <c r="Q923" s="411"/>
      <c r="R923" s="411"/>
      <c r="S923" s="411"/>
      <c r="T923" s="411"/>
      <c r="U923" s="411"/>
      <c r="V923" s="411"/>
      <c r="W923" s="411"/>
      <c r="X923" s="411"/>
      <c r="Y923" s="411"/>
      <c r="Z923" s="411"/>
      <c r="AA923" s="411"/>
      <c r="AB923" s="411"/>
      <c r="AC923" s="411"/>
      <c r="AD923" s="411"/>
      <c r="AE923" s="411"/>
      <c r="AF923" s="411"/>
      <c r="AG923" s="411"/>
    </row>
    <row r="924" ht="14.25" customHeight="1">
      <c r="O924" s="411"/>
      <c r="P924" s="411"/>
      <c r="Q924" s="411"/>
      <c r="R924" s="411"/>
      <c r="S924" s="411"/>
      <c r="T924" s="411"/>
      <c r="U924" s="411"/>
      <c r="V924" s="411"/>
      <c r="W924" s="411"/>
      <c r="X924" s="411"/>
      <c r="Y924" s="411"/>
      <c r="Z924" s="411"/>
      <c r="AA924" s="411"/>
      <c r="AB924" s="411"/>
      <c r="AC924" s="411"/>
      <c r="AD924" s="411"/>
      <c r="AE924" s="411"/>
      <c r="AF924" s="411"/>
      <c r="AG924" s="411"/>
    </row>
    <row r="925" ht="14.25" customHeight="1">
      <c r="O925" s="411"/>
      <c r="P925" s="411"/>
      <c r="Q925" s="411"/>
      <c r="R925" s="411"/>
      <c r="S925" s="411"/>
      <c r="T925" s="411"/>
      <c r="U925" s="411"/>
      <c r="V925" s="411"/>
      <c r="W925" s="411"/>
      <c r="X925" s="411"/>
      <c r="Y925" s="411"/>
      <c r="Z925" s="411"/>
      <c r="AA925" s="411"/>
      <c r="AB925" s="411"/>
      <c r="AC925" s="411"/>
      <c r="AD925" s="411"/>
      <c r="AE925" s="411"/>
      <c r="AF925" s="411"/>
      <c r="AG925" s="411"/>
    </row>
    <row r="926" ht="14.25" customHeight="1">
      <c r="O926" s="411"/>
      <c r="P926" s="411"/>
      <c r="Q926" s="411"/>
      <c r="R926" s="411"/>
      <c r="S926" s="411"/>
      <c r="T926" s="411"/>
      <c r="U926" s="411"/>
      <c r="V926" s="411"/>
      <c r="W926" s="411"/>
      <c r="X926" s="411"/>
      <c r="Y926" s="411"/>
      <c r="Z926" s="411"/>
      <c r="AA926" s="411"/>
      <c r="AB926" s="411"/>
      <c r="AC926" s="411"/>
      <c r="AD926" s="411"/>
      <c r="AE926" s="411"/>
      <c r="AF926" s="411"/>
      <c r="AG926" s="411"/>
    </row>
    <row r="927" ht="14.25" customHeight="1">
      <c r="O927" s="411"/>
      <c r="P927" s="411"/>
      <c r="Q927" s="411"/>
      <c r="R927" s="411"/>
      <c r="S927" s="411"/>
      <c r="T927" s="411"/>
      <c r="U927" s="411"/>
      <c r="V927" s="411"/>
      <c r="W927" s="411"/>
      <c r="X927" s="411"/>
      <c r="Y927" s="411"/>
      <c r="Z927" s="411"/>
      <c r="AA927" s="411"/>
      <c r="AB927" s="411"/>
      <c r="AC927" s="411"/>
      <c r="AD927" s="411"/>
      <c r="AE927" s="411"/>
      <c r="AF927" s="411"/>
      <c r="AG927" s="411"/>
    </row>
    <row r="928" ht="14.25" customHeight="1">
      <c r="O928" s="411"/>
      <c r="P928" s="411"/>
      <c r="Q928" s="411"/>
      <c r="R928" s="411"/>
      <c r="S928" s="411"/>
      <c r="T928" s="411"/>
      <c r="U928" s="411"/>
      <c r="V928" s="411"/>
      <c r="W928" s="411"/>
      <c r="X928" s="411"/>
      <c r="Y928" s="411"/>
      <c r="Z928" s="411"/>
      <c r="AA928" s="411"/>
      <c r="AB928" s="411"/>
      <c r="AC928" s="411"/>
      <c r="AD928" s="411"/>
      <c r="AE928" s="411"/>
      <c r="AF928" s="411"/>
      <c r="AG928" s="411"/>
    </row>
    <row r="929" ht="14.25" customHeight="1">
      <c r="O929" s="411"/>
      <c r="P929" s="411"/>
      <c r="Q929" s="411"/>
      <c r="R929" s="411"/>
      <c r="S929" s="411"/>
      <c r="T929" s="411"/>
      <c r="U929" s="411"/>
      <c r="V929" s="411"/>
      <c r="W929" s="411"/>
      <c r="X929" s="411"/>
      <c r="Y929" s="411"/>
      <c r="Z929" s="411"/>
      <c r="AA929" s="411"/>
      <c r="AB929" s="411"/>
      <c r="AC929" s="411"/>
      <c r="AD929" s="411"/>
      <c r="AE929" s="411"/>
      <c r="AF929" s="411"/>
      <c r="AG929" s="411"/>
    </row>
    <row r="930" ht="14.25" customHeight="1">
      <c r="O930" s="411"/>
      <c r="P930" s="411"/>
      <c r="Q930" s="411"/>
      <c r="R930" s="411"/>
      <c r="S930" s="411"/>
      <c r="T930" s="411"/>
      <c r="U930" s="411"/>
      <c r="V930" s="411"/>
      <c r="W930" s="411"/>
      <c r="X930" s="411"/>
      <c r="Y930" s="411"/>
      <c r="Z930" s="411"/>
      <c r="AA930" s="411"/>
      <c r="AB930" s="411"/>
      <c r="AC930" s="411"/>
      <c r="AD930" s="411"/>
      <c r="AE930" s="411"/>
      <c r="AF930" s="411"/>
      <c r="AG930" s="411"/>
    </row>
    <row r="931" ht="14.25" customHeight="1">
      <c r="O931" s="411"/>
      <c r="P931" s="411"/>
      <c r="Q931" s="411"/>
      <c r="R931" s="411"/>
      <c r="S931" s="411"/>
      <c r="T931" s="411"/>
      <c r="U931" s="411"/>
      <c r="V931" s="411"/>
      <c r="W931" s="411"/>
      <c r="X931" s="411"/>
      <c r="Y931" s="411"/>
      <c r="Z931" s="411"/>
      <c r="AA931" s="411"/>
      <c r="AB931" s="411"/>
      <c r="AC931" s="411"/>
      <c r="AD931" s="411"/>
      <c r="AE931" s="411"/>
      <c r="AF931" s="411"/>
      <c r="AG931" s="411"/>
    </row>
    <row r="932" ht="14.25" customHeight="1">
      <c r="O932" s="411"/>
      <c r="P932" s="411"/>
      <c r="Q932" s="411"/>
      <c r="R932" s="411"/>
      <c r="S932" s="411"/>
      <c r="T932" s="411"/>
      <c r="U932" s="411"/>
      <c r="V932" s="411"/>
      <c r="W932" s="411"/>
      <c r="X932" s="411"/>
      <c r="Y932" s="411"/>
      <c r="Z932" s="411"/>
      <c r="AA932" s="411"/>
      <c r="AB932" s="411"/>
      <c r="AC932" s="411"/>
      <c r="AD932" s="411"/>
      <c r="AE932" s="411"/>
      <c r="AF932" s="411"/>
      <c r="AG932" s="411"/>
    </row>
    <row r="933" ht="14.25" customHeight="1">
      <c r="O933" s="411"/>
      <c r="P933" s="411"/>
      <c r="Q933" s="411"/>
      <c r="R933" s="411"/>
      <c r="S933" s="411"/>
      <c r="T933" s="411"/>
      <c r="U933" s="411"/>
      <c r="V933" s="411"/>
      <c r="W933" s="411"/>
      <c r="X933" s="411"/>
      <c r="Y933" s="411"/>
      <c r="Z933" s="411"/>
      <c r="AA933" s="411"/>
      <c r="AB933" s="411"/>
      <c r="AC933" s="411"/>
      <c r="AD933" s="411"/>
      <c r="AE933" s="411"/>
      <c r="AF933" s="411"/>
      <c r="AG933" s="411"/>
    </row>
    <row r="934" ht="14.25" customHeight="1">
      <c r="O934" s="411"/>
      <c r="P934" s="411"/>
      <c r="Q934" s="411"/>
      <c r="R934" s="411"/>
      <c r="S934" s="411"/>
      <c r="T934" s="411"/>
      <c r="U934" s="411"/>
      <c r="V934" s="411"/>
      <c r="W934" s="411"/>
      <c r="X934" s="411"/>
      <c r="Y934" s="411"/>
      <c r="Z934" s="411"/>
      <c r="AA934" s="411"/>
      <c r="AB934" s="411"/>
      <c r="AC934" s="411"/>
      <c r="AD934" s="411"/>
      <c r="AE934" s="411"/>
      <c r="AF934" s="411"/>
      <c r="AG934" s="411"/>
    </row>
    <row r="935" ht="14.25" customHeight="1">
      <c r="O935" s="411"/>
      <c r="P935" s="411"/>
      <c r="Q935" s="411"/>
      <c r="R935" s="411"/>
      <c r="S935" s="411"/>
      <c r="T935" s="411"/>
      <c r="U935" s="411"/>
      <c r="V935" s="411"/>
      <c r="W935" s="411"/>
      <c r="X935" s="411"/>
      <c r="Y935" s="411"/>
      <c r="Z935" s="411"/>
      <c r="AA935" s="411"/>
      <c r="AB935" s="411"/>
      <c r="AC935" s="411"/>
      <c r="AD935" s="411"/>
      <c r="AE935" s="411"/>
      <c r="AF935" s="411"/>
      <c r="AG935" s="411"/>
    </row>
    <row r="936" ht="14.25" customHeight="1">
      <c r="O936" s="411"/>
      <c r="P936" s="411"/>
      <c r="Q936" s="411"/>
      <c r="R936" s="411"/>
      <c r="S936" s="411"/>
      <c r="T936" s="411"/>
      <c r="U936" s="411"/>
      <c r="V936" s="411"/>
      <c r="W936" s="411"/>
      <c r="X936" s="411"/>
      <c r="Y936" s="411"/>
      <c r="Z936" s="411"/>
      <c r="AA936" s="411"/>
      <c r="AB936" s="411"/>
      <c r="AC936" s="411"/>
      <c r="AD936" s="411"/>
      <c r="AE936" s="411"/>
      <c r="AF936" s="411"/>
      <c r="AG936" s="411"/>
    </row>
    <row r="937" ht="14.25" customHeight="1">
      <c r="O937" s="411"/>
      <c r="P937" s="411"/>
      <c r="Q937" s="411"/>
      <c r="R937" s="411"/>
      <c r="S937" s="411"/>
      <c r="T937" s="411"/>
      <c r="U937" s="411"/>
      <c r="V937" s="411"/>
      <c r="W937" s="411"/>
      <c r="X937" s="411"/>
      <c r="Y937" s="411"/>
      <c r="Z937" s="411"/>
      <c r="AA937" s="411"/>
      <c r="AB937" s="411"/>
      <c r="AC937" s="411"/>
      <c r="AD937" s="411"/>
      <c r="AE937" s="411"/>
      <c r="AF937" s="411"/>
      <c r="AG937" s="411"/>
    </row>
    <row r="938" ht="14.25" customHeight="1">
      <c r="O938" s="411"/>
      <c r="P938" s="411"/>
      <c r="Q938" s="411"/>
      <c r="R938" s="411"/>
      <c r="S938" s="411"/>
      <c r="T938" s="411"/>
      <c r="U938" s="411"/>
      <c r="V938" s="411"/>
      <c r="W938" s="411"/>
      <c r="X938" s="411"/>
      <c r="Y938" s="411"/>
      <c r="Z938" s="411"/>
      <c r="AA938" s="411"/>
      <c r="AB938" s="411"/>
      <c r="AC938" s="411"/>
      <c r="AD938" s="411"/>
      <c r="AE938" s="411"/>
      <c r="AF938" s="411"/>
      <c r="AG938" s="411"/>
    </row>
    <row r="939" ht="14.25" customHeight="1">
      <c r="O939" s="411"/>
      <c r="P939" s="411"/>
      <c r="Q939" s="411"/>
      <c r="R939" s="411"/>
      <c r="S939" s="411"/>
      <c r="T939" s="411"/>
      <c r="U939" s="411"/>
      <c r="V939" s="411"/>
      <c r="W939" s="411"/>
      <c r="X939" s="411"/>
      <c r="Y939" s="411"/>
      <c r="Z939" s="411"/>
      <c r="AA939" s="411"/>
      <c r="AB939" s="411"/>
      <c r="AC939" s="411"/>
      <c r="AD939" s="411"/>
      <c r="AE939" s="411"/>
      <c r="AF939" s="411"/>
      <c r="AG939" s="411"/>
    </row>
    <row r="940" ht="14.25" customHeight="1">
      <c r="O940" s="411"/>
      <c r="P940" s="411"/>
      <c r="Q940" s="411"/>
      <c r="R940" s="411"/>
      <c r="S940" s="411"/>
      <c r="T940" s="411"/>
      <c r="U940" s="411"/>
      <c r="V940" s="411"/>
      <c r="W940" s="411"/>
      <c r="X940" s="411"/>
      <c r="Y940" s="411"/>
      <c r="Z940" s="411"/>
      <c r="AA940" s="411"/>
      <c r="AB940" s="411"/>
      <c r="AC940" s="411"/>
      <c r="AD940" s="411"/>
      <c r="AE940" s="411"/>
      <c r="AF940" s="411"/>
      <c r="AG940" s="411"/>
    </row>
    <row r="941" ht="14.25" customHeight="1">
      <c r="O941" s="411"/>
      <c r="P941" s="411"/>
      <c r="Q941" s="411"/>
      <c r="R941" s="411"/>
      <c r="S941" s="411"/>
      <c r="T941" s="411"/>
      <c r="U941" s="411"/>
      <c r="V941" s="411"/>
      <c r="W941" s="411"/>
      <c r="X941" s="411"/>
      <c r="Y941" s="411"/>
      <c r="Z941" s="411"/>
      <c r="AA941" s="411"/>
      <c r="AB941" s="411"/>
      <c r="AC941" s="411"/>
      <c r="AD941" s="411"/>
      <c r="AE941" s="411"/>
      <c r="AF941" s="411"/>
      <c r="AG941" s="411"/>
    </row>
    <row r="942" ht="14.25" customHeight="1">
      <c r="O942" s="411"/>
      <c r="P942" s="411"/>
      <c r="Q942" s="411"/>
      <c r="R942" s="411"/>
      <c r="S942" s="411"/>
      <c r="T942" s="411"/>
      <c r="U942" s="411"/>
      <c r="V942" s="411"/>
      <c r="W942" s="411"/>
      <c r="X942" s="411"/>
      <c r="Y942" s="411"/>
      <c r="Z942" s="411"/>
      <c r="AA942" s="411"/>
      <c r="AB942" s="411"/>
      <c r="AC942" s="411"/>
      <c r="AD942" s="411"/>
      <c r="AE942" s="411"/>
      <c r="AF942" s="411"/>
      <c r="AG942" s="411"/>
    </row>
    <row r="943" ht="14.25" customHeight="1">
      <c r="O943" s="411"/>
      <c r="P943" s="411"/>
      <c r="Q943" s="411"/>
      <c r="R943" s="411"/>
      <c r="S943" s="411"/>
      <c r="T943" s="411"/>
      <c r="U943" s="411"/>
      <c r="V943" s="411"/>
      <c r="W943" s="411"/>
      <c r="X943" s="411"/>
      <c r="Y943" s="411"/>
      <c r="Z943" s="411"/>
      <c r="AA943" s="411"/>
      <c r="AB943" s="411"/>
      <c r="AC943" s="411"/>
      <c r="AD943" s="411"/>
      <c r="AE943" s="411"/>
      <c r="AF943" s="411"/>
      <c r="AG943" s="411"/>
    </row>
    <row r="944" ht="14.25" customHeight="1">
      <c r="O944" s="411"/>
      <c r="P944" s="411"/>
      <c r="Q944" s="411"/>
      <c r="R944" s="411"/>
      <c r="S944" s="411"/>
      <c r="T944" s="411"/>
      <c r="U944" s="411"/>
      <c r="V944" s="411"/>
      <c r="W944" s="411"/>
      <c r="X944" s="411"/>
      <c r="Y944" s="411"/>
      <c r="Z944" s="411"/>
      <c r="AA944" s="411"/>
      <c r="AB944" s="411"/>
      <c r="AC944" s="411"/>
      <c r="AD944" s="411"/>
      <c r="AE944" s="411"/>
      <c r="AF944" s="411"/>
      <c r="AG944" s="411"/>
    </row>
    <row r="945" ht="14.25" customHeight="1">
      <c r="O945" s="411"/>
      <c r="P945" s="411"/>
      <c r="Q945" s="411"/>
      <c r="R945" s="411"/>
      <c r="S945" s="411"/>
      <c r="T945" s="411"/>
      <c r="U945" s="411"/>
      <c r="V945" s="411"/>
      <c r="W945" s="411"/>
      <c r="X945" s="411"/>
      <c r="Y945" s="411"/>
      <c r="Z945" s="411"/>
      <c r="AA945" s="411"/>
      <c r="AB945" s="411"/>
      <c r="AC945" s="411"/>
      <c r="AD945" s="411"/>
      <c r="AE945" s="411"/>
      <c r="AF945" s="411"/>
      <c r="AG945" s="411"/>
    </row>
    <row r="946" ht="14.25" customHeight="1">
      <c r="O946" s="411"/>
      <c r="P946" s="411"/>
      <c r="Q946" s="411"/>
      <c r="R946" s="411"/>
      <c r="S946" s="411"/>
      <c r="T946" s="411"/>
      <c r="U946" s="411"/>
      <c r="V946" s="411"/>
      <c r="W946" s="411"/>
      <c r="X946" s="411"/>
      <c r="Y946" s="411"/>
      <c r="Z946" s="411"/>
      <c r="AA946" s="411"/>
      <c r="AB946" s="411"/>
      <c r="AC946" s="411"/>
      <c r="AD946" s="411"/>
      <c r="AE946" s="411"/>
      <c r="AF946" s="411"/>
      <c r="AG946" s="411"/>
    </row>
    <row r="947" ht="14.25" customHeight="1">
      <c r="O947" s="411"/>
      <c r="P947" s="411"/>
      <c r="Q947" s="411"/>
      <c r="R947" s="411"/>
      <c r="S947" s="411"/>
      <c r="T947" s="411"/>
      <c r="U947" s="411"/>
      <c r="V947" s="411"/>
      <c r="W947" s="411"/>
      <c r="X947" s="411"/>
      <c r="Y947" s="411"/>
      <c r="Z947" s="411"/>
      <c r="AA947" s="411"/>
      <c r="AB947" s="411"/>
      <c r="AC947" s="411"/>
      <c r="AD947" s="411"/>
      <c r="AE947" s="411"/>
      <c r="AF947" s="411"/>
      <c r="AG947" s="411"/>
    </row>
    <row r="948" ht="14.25" customHeight="1">
      <c r="O948" s="411"/>
      <c r="P948" s="411"/>
      <c r="Q948" s="411"/>
      <c r="R948" s="411"/>
      <c r="S948" s="411"/>
      <c r="T948" s="411"/>
      <c r="U948" s="411"/>
      <c r="V948" s="411"/>
      <c r="W948" s="411"/>
      <c r="X948" s="411"/>
      <c r="Y948" s="411"/>
      <c r="Z948" s="411"/>
      <c r="AA948" s="411"/>
      <c r="AB948" s="411"/>
      <c r="AC948" s="411"/>
      <c r="AD948" s="411"/>
      <c r="AE948" s="411"/>
      <c r="AF948" s="411"/>
      <c r="AG948" s="411"/>
    </row>
    <row r="949" ht="14.25" customHeight="1">
      <c r="O949" s="411"/>
      <c r="P949" s="411"/>
      <c r="Q949" s="411"/>
      <c r="R949" s="411"/>
      <c r="S949" s="411"/>
      <c r="T949" s="411"/>
      <c r="U949" s="411"/>
      <c r="V949" s="411"/>
      <c r="W949" s="411"/>
      <c r="X949" s="411"/>
      <c r="Y949" s="411"/>
      <c r="Z949" s="411"/>
      <c r="AA949" s="411"/>
      <c r="AB949" s="411"/>
      <c r="AC949" s="411"/>
      <c r="AD949" s="411"/>
      <c r="AE949" s="411"/>
      <c r="AF949" s="411"/>
      <c r="AG949" s="411"/>
    </row>
    <row r="950" ht="14.25" customHeight="1">
      <c r="O950" s="411"/>
      <c r="P950" s="411"/>
      <c r="Q950" s="411"/>
      <c r="R950" s="411"/>
      <c r="S950" s="411"/>
      <c r="T950" s="411"/>
      <c r="U950" s="411"/>
      <c r="V950" s="411"/>
      <c r="W950" s="411"/>
      <c r="X950" s="411"/>
      <c r="Y950" s="411"/>
      <c r="Z950" s="411"/>
      <c r="AA950" s="411"/>
      <c r="AB950" s="411"/>
      <c r="AC950" s="411"/>
      <c r="AD950" s="411"/>
      <c r="AE950" s="411"/>
      <c r="AF950" s="411"/>
      <c r="AG950" s="411"/>
    </row>
    <row r="951" ht="14.25" customHeight="1">
      <c r="O951" s="411"/>
      <c r="P951" s="411"/>
      <c r="Q951" s="411"/>
      <c r="R951" s="411"/>
      <c r="S951" s="411"/>
      <c r="T951" s="411"/>
      <c r="U951" s="411"/>
      <c r="V951" s="411"/>
      <c r="W951" s="411"/>
      <c r="X951" s="411"/>
      <c r="Y951" s="411"/>
      <c r="Z951" s="411"/>
      <c r="AA951" s="411"/>
      <c r="AB951" s="411"/>
      <c r="AC951" s="411"/>
      <c r="AD951" s="411"/>
      <c r="AE951" s="411"/>
      <c r="AF951" s="411"/>
      <c r="AG951" s="411"/>
    </row>
    <row r="952" ht="14.25" customHeight="1">
      <c r="O952" s="411"/>
      <c r="P952" s="411"/>
      <c r="Q952" s="411"/>
      <c r="R952" s="411"/>
      <c r="S952" s="411"/>
      <c r="T952" s="411"/>
      <c r="U952" s="411"/>
      <c r="V952" s="411"/>
      <c r="W952" s="411"/>
      <c r="X952" s="411"/>
      <c r="Y952" s="411"/>
      <c r="Z952" s="411"/>
      <c r="AA952" s="411"/>
      <c r="AB952" s="411"/>
      <c r="AC952" s="411"/>
      <c r="AD952" s="411"/>
      <c r="AE952" s="411"/>
      <c r="AF952" s="411"/>
      <c r="AG952" s="411"/>
    </row>
    <row r="953" ht="14.25" customHeight="1">
      <c r="O953" s="411"/>
      <c r="P953" s="411"/>
      <c r="Q953" s="411"/>
      <c r="R953" s="411"/>
      <c r="S953" s="411"/>
      <c r="T953" s="411"/>
      <c r="U953" s="411"/>
      <c r="V953" s="411"/>
      <c r="W953" s="411"/>
      <c r="X953" s="411"/>
      <c r="Y953" s="411"/>
      <c r="Z953" s="411"/>
      <c r="AA953" s="411"/>
      <c r="AB953" s="411"/>
      <c r="AC953" s="411"/>
      <c r="AD953" s="411"/>
      <c r="AE953" s="411"/>
      <c r="AF953" s="411"/>
      <c r="AG953" s="411"/>
    </row>
    <row r="954" ht="14.25" customHeight="1">
      <c r="O954" s="411"/>
      <c r="P954" s="411"/>
      <c r="Q954" s="411"/>
      <c r="R954" s="411"/>
      <c r="S954" s="411"/>
      <c r="T954" s="411"/>
      <c r="U954" s="411"/>
      <c r="V954" s="411"/>
      <c r="W954" s="411"/>
      <c r="X954" s="411"/>
      <c r="Y954" s="411"/>
      <c r="Z954" s="411"/>
      <c r="AA954" s="411"/>
      <c r="AB954" s="411"/>
      <c r="AC954" s="411"/>
      <c r="AD954" s="411"/>
      <c r="AE954" s="411"/>
      <c r="AF954" s="411"/>
      <c r="AG954" s="411"/>
    </row>
    <row r="955" ht="14.25" customHeight="1">
      <c r="O955" s="411"/>
      <c r="P955" s="411"/>
      <c r="Q955" s="411"/>
      <c r="R955" s="411"/>
      <c r="S955" s="411"/>
      <c r="T955" s="411"/>
      <c r="U955" s="411"/>
      <c r="V955" s="411"/>
      <c r="W955" s="411"/>
      <c r="X955" s="411"/>
      <c r="Y955" s="411"/>
      <c r="Z955" s="411"/>
      <c r="AA955" s="411"/>
      <c r="AB955" s="411"/>
      <c r="AC955" s="411"/>
      <c r="AD955" s="411"/>
      <c r="AE955" s="411"/>
      <c r="AF955" s="411"/>
      <c r="AG955" s="411"/>
    </row>
    <row r="956" ht="14.25" customHeight="1">
      <c r="O956" s="411"/>
      <c r="P956" s="411"/>
      <c r="Q956" s="411"/>
      <c r="R956" s="411"/>
      <c r="S956" s="411"/>
      <c r="T956" s="411"/>
      <c r="U956" s="411"/>
      <c r="V956" s="411"/>
      <c r="W956" s="411"/>
      <c r="X956" s="411"/>
      <c r="Y956" s="411"/>
      <c r="Z956" s="411"/>
      <c r="AA956" s="411"/>
      <c r="AB956" s="411"/>
      <c r="AC956" s="411"/>
      <c r="AD956" s="411"/>
      <c r="AE956" s="411"/>
      <c r="AF956" s="411"/>
      <c r="AG956" s="411"/>
    </row>
    <row r="957" ht="14.25" customHeight="1">
      <c r="O957" s="411"/>
      <c r="P957" s="411"/>
      <c r="Q957" s="411"/>
      <c r="R957" s="411"/>
      <c r="S957" s="411"/>
      <c r="T957" s="411"/>
      <c r="U957" s="411"/>
      <c r="V957" s="411"/>
      <c r="W957" s="411"/>
      <c r="X957" s="411"/>
      <c r="Y957" s="411"/>
      <c r="Z957" s="411"/>
      <c r="AA957" s="411"/>
      <c r="AB957" s="411"/>
      <c r="AC957" s="411"/>
      <c r="AD957" s="411"/>
      <c r="AE957" s="411"/>
      <c r="AF957" s="411"/>
      <c r="AG957" s="411"/>
    </row>
    <row r="958" ht="14.25" customHeight="1">
      <c r="O958" s="411"/>
      <c r="P958" s="411"/>
      <c r="Q958" s="411"/>
      <c r="R958" s="411"/>
      <c r="S958" s="411"/>
      <c r="T958" s="411"/>
      <c r="U958" s="411"/>
      <c r="V958" s="411"/>
      <c r="W958" s="411"/>
      <c r="X958" s="411"/>
      <c r="Y958" s="411"/>
      <c r="Z958" s="411"/>
      <c r="AA958" s="411"/>
      <c r="AB958" s="411"/>
      <c r="AC958" s="411"/>
      <c r="AD958" s="411"/>
      <c r="AE958" s="411"/>
      <c r="AF958" s="411"/>
      <c r="AG958" s="411"/>
    </row>
    <row r="959" ht="14.25" customHeight="1">
      <c r="O959" s="411"/>
      <c r="P959" s="411"/>
      <c r="Q959" s="411"/>
      <c r="R959" s="411"/>
      <c r="S959" s="411"/>
      <c r="T959" s="411"/>
      <c r="U959" s="411"/>
      <c r="V959" s="411"/>
      <c r="W959" s="411"/>
      <c r="X959" s="411"/>
      <c r="Y959" s="411"/>
      <c r="Z959" s="411"/>
      <c r="AA959" s="411"/>
      <c r="AB959" s="411"/>
      <c r="AC959" s="411"/>
      <c r="AD959" s="411"/>
      <c r="AE959" s="411"/>
      <c r="AF959" s="411"/>
      <c r="AG959" s="411"/>
    </row>
    <row r="960" ht="14.25" customHeight="1">
      <c r="O960" s="411"/>
      <c r="P960" s="411"/>
      <c r="Q960" s="411"/>
      <c r="R960" s="411"/>
      <c r="S960" s="411"/>
      <c r="T960" s="411"/>
      <c r="U960" s="411"/>
      <c r="V960" s="411"/>
      <c r="W960" s="411"/>
      <c r="X960" s="411"/>
      <c r="Y960" s="411"/>
      <c r="Z960" s="411"/>
      <c r="AA960" s="411"/>
      <c r="AB960" s="411"/>
      <c r="AC960" s="411"/>
      <c r="AD960" s="411"/>
      <c r="AE960" s="411"/>
      <c r="AF960" s="411"/>
      <c r="AG960" s="411"/>
    </row>
    <row r="961" ht="14.25" customHeight="1">
      <c r="O961" s="411"/>
      <c r="P961" s="411"/>
      <c r="Q961" s="411"/>
      <c r="R961" s="411"/>
      <c r="S961" s="411"/>
      <c r="T961" s="411"/>
      <c r="U961" s="411"/>
      <c r="V961" s="411"/>
      <c r="W961" s="411"/>
      <c r="X961" s="411"/>
      <c r="Y961" s="411"/>
      <c r="Z961" s="411"/>
      <c r="AA961" s="411"/>
      <c r="AB961" s="411"/>
      <c r="AC961" s="411"/>
      <c r="AD961" s="411"/>
      <c r="AE961" s="411"/>
      <c r="AF961" s="411"/>
      <c r="AG961" s="411"/>
    </row>
    <row r="962" ht="14.25" customHeight="1">
      <c r="O962" s="411"/>
      <c r="P962" s="411"/>
      <c r="Q962" s="411"/>
      <c r="R962" s="411"/>
      <c r="S962" s="411"/>
      <c r="T962" s="411"/>
      <c r="U962" s="411"/>
      <c r="V962" s="411"/>
      <c r="W962" s="411"/>
      <c r="X962" s="411"/>
      <c r="Y962" s="411"/>
      <c r="Z962" s="411"/>
      <c r="AA962" s="411"/>
      <c r="AB962" s="411"/>
      <c r="AC962" s="411"/>
      <c r="AD962" s="411"/>
      <c r="AE962" s="411"/>
      <c r="AF962" s="411"/>
      <c r="AG962" s="411"/>
    </row>
    <row r="963" ht="14.25" customHeight="1">
      <c r="O963" s="411"/>
      <c r="P963" s="411"/>
      <c r="Q963" s="411"/>
      <c r="R963" s="411"/>
      <c r="S963" s="411"/>
      <c r="T963" s="411"/>
      <c r="U963" s="411"/>
      <c r="V963" s="411"/>
      <c r="W963" s="411"/>
      <c r="X963" s="411"/>
      <c r="Y963" s="411"/>
      <c r="Z963" s="411"/>
      <c r="AA963" s="411"/>
      <c r="AB963" s="411"/>
      <c r="AC963" s="411"/>
      <c r="AD963" s="411"/>
      <c r="AE963" s="411"/>
      <c r="AF963" s="411"/>
      <c r="AG963" s="411"/>
    </row>
    <row r="964" ht="14.25" customHeight="1">
      <c r="O964" s="411"/>
      <c r="P964" s="411"/>
      <c r="Q964" s="411"/>
      <c r="R964" s="411"/>
      <c r="S964" s="411"/>
      <c r="T964" s="411"/>
      <c r="U964" s="411"/>
      <c r="V964" s="411"/>
      <c r="W964" s="411"/>
      <c r="X964" s="411"/>
      <c r="Y964" s="411"/>
      <c r="Z964" s="411"/>
      <c r="AA964" s="411"/>
      <c r="AB964" s="411"/>
      <c r="AC964" s="411"/>
      <c r="AD964" s="411"/>
      <c r="AE964" s="411"/>
      <c r="AF964" s="411"/>
      <c r="AG964" s="411"/>
    </row>
    <row r="965" ht="14.25" customHeight="1">
      <c r="O965" s="411"/>
      <c r="P965" s="411"/>
      <c r="Q965" s="411"/>
      <c r="R965" s="411"/>
      <c r="S965" s="411"/>
      <c r="T965" s="411"/>
      <c r="U965" s="411"/>
      <c r="V965" s="411"/>
      <c r="W965" s="411"/>
      <c r="X965" s="411"/>
      <c r="Y965" s="411"/>
      <c r="Z965" s="411"/>
      <c r="AA965" s="411"/>
      <c r="AB965" s="411"/>
      <c r="AC965" s="411"/>
      <c r="AD965" s="411"/>
      <c r="AE965" s="411"/>
      <c r="AF965" s="411"/>
      <c r="AG965" s="411"/>
    </row>
    <row r="966" ht="14.25" customHeight="1">
      <c r="O966" s="411"/>
      <c r="P966" s="411"/>
      <c r="Q966" s="411"/>
      <c r="R966" s="411"/>
      <c r="S966" s="411"/>
      <c r="T966" s="411"/>
      <c r="U966" s="411"/>
      <c r="V966" s="411"/>
      <c r="W966" s="411"/>
      <c r="X966" s="411"/>
      <c r="Y966" s="411"/>
      <c r="Z966" s="411"/>
      <c r="AA966" s="411"/>
      <c r="AB966" s="411"/>
      <c r="AC966" s="411"/>
      <c r="AD966" s="411"/>
      <c r="AE966" s="411"/>
      <c r="AF966" s="411"/>
      <c r="AG966" s="411"/>
    </row>
    <row r="967" ht="14.25" customHeight="1">
      <c r="O967" s="411"/>
      <c r="P967" s="411"/>
      <c r="Q967" s="411"/>
      <c r="R967" s="411"/>
      <c r="S967" s="411"/>
      <c r="T967" s="411"/>
      <c r="U967" s="411"/>
      <c r="V967" s="411"/>
      <c r="W967" s="411"/>
      <c r="X967" s="411"/>
      <c r="Y967" s="411"/>
      <c r="Z967" s="411"/>
      <c r="AA967" s="411"/>
      <c r="AB967" s="411"/>
      <c r="AC967" s="411"/>
      <c r="AD967" s="411"/>
      <c r="AE967" s="411"/>
      <c r="AF967" s="411"/>
      <c r="AG967" s="411"/>
    </row>
    <row r="968" ht="14.25" customHeight="1">
      <c r="O968" s="411"/>
      <c r="P968" s="411"/>
      <c r="Q968" s="411"/>
      <c r="R968" s="411"/>
      <c r="S968" s="411"/>
      <c r="T968" s="411"/>
      <c r="U968" s="411"/>
      <c r="V968" s="411"/>
      <c r="W968" s="411"/>
      <c r="X968" s="411"/>
      <c r="Y968" s="411"/>
      <c r="Z968" s="411"/>
      <c r="AA968" s="411"/>
      <c r="AB968" s="411"/>
      <c r="AC968" s="411"/>
      <c r="AD968" s="411"/>
      <c r="AE968" s="411"/>
      <c r="AF968" s="411"/>
      <c r="AG968" s="411"/>
    </row>
    <row r="969" ht="14.25" customHeight="1">
      <c r="O969" s="411"/>
      <c r="P969" s="411"/>
      <c r="Q969" s="411"/>
      <c r="R969" s="411"/>
      <c r="S969" s="411"/>
      <c r="T969" s="411"/>
      <c r="U969" s="411"/>
      <c r="V969" s="411"/>
      <c r="W969" s="411"/>
      <c r="X969" s="411"/>
      <c r="Y969" s="411"/>
      <c r="Z969" s="411"/>
      <c r="AA969" s="411"/>
      <c r="AB969" s="411"/>
      <c r="AC969" s="411"/>
      <c r="AD969" s="411"/>
      <c r="AE969" s="411"/>
      <c r="AF969" s="411"/>
      <c r="AG969" s="411"/>
    </row>
    <row r="970" ht="14.25" customHeight="1">
      <c r="O970" s="411"/>
      <c r="P970" s="411"/>
      <c r="Q970" s="411"/>
      <c r="R970" s="411"/>
      <c r="S970" s="411"/>
      <c r="T970" s="411"/>
      <c r="U970" s="411"/>
      <c r="V970" s="411"/>
      <c r="W970" s="411"/>
      <c r="X970" s="411"/>
      <c r="Y970" s="411"/>
      <c r="Z970" s="411"/>
      <c r="AA970" s="411"/>
      <c r="AB970" s="411"/>
      <c r="AC970" s="411"/>
      <c r="AD970" s="411"/>
      <c r="AE970" s="411"/>
      <c r="AF970" s="411"/>
      <c r="AG970" s="411"/>
    </row>
    <row r="971" ht="14.25" customHeight="1">
      <c r="O971" s="411"/>
      <c r="P971" s="411"/>
      <c r="Q971" s="411"/>
      <c r="R971" s="411"/>
      <c r="S971" s="411"/>
      <c r="T971" s="411"/>
      <c r="U971" s="411"/>
      <c r="V971" s="411"/>
      <c r="W971" s="411"/>
      <c r="X971" s="411"/>
      <c r="Y971" s="411"/>
      <c r="Z971" s="411"/>
      <c r="AA971" s="411"/>
      <c r="AB971" s="411"/>
      <c r="AC971" s="411"/>
      <c r="AD971" s="411"/>
      <c r="AE971" s="411"/>
      <c r="AF971" s="411"/>
      <c r="AG971" s="411"/>
    </row>
    <row r="972" ht="14.25" customHeight="1">
      <c r="O972" s="411"/>
      <c r="P972" s="411"/>
      <c r="Q972" s="411"/>
      <c r="R972" s="411"/>
      <c r="S972" s="411"/>
      <c r="T972" s="411"/>
      <c r="U972" s="411"/>
      <c r="V972" s="411"/>
      <c r="W972" s="411"/>
      <c r="X972" s="411"/>
      <c r="Y972" s="411"/>
      <c r="Z972" s="411"/>
      <c r="AA972" s="411"/>
      <c r="AB972" s="411"/>
      <c r="AC972" s="411"/>
      <c r="AD972" s="411"/>
      <c r="AE972" s="411"/>
      <c r="AF972" s="411"/>
      <c r="AG972" s="411"/>
    </row>
    <row r="973" ht="14.25" customHeight="1">
      <c r="O973" s="411"/>
      <c r="P973" s="411"/>
      <c r="Q973" s="411"/>
      <c r="R973" s="411"/>
      <c r="S973" s="411"/>
      <c r="T973" s="411"/>
      <c r="U973" s="411"/>
      <c r="V973" s="411"/>
      <c r="W973" s="411"/>
      <c r="X973" s="411"/>
      <c r="Y973" s="411"/>
      <c r="Z973" s="411"/>
      <c r="AA973" s="411"/>
      <c r="AB973" s="411"/>
      <c r="AC973" s="411"/>
      <c r="AD973" s="411"/>
      <c r="AE973" s="411"/>
      <c r="AF973" s="411"/>
      <c r="AG973" s="411"/>
    </row>
    <row r="974" ht="14.25" customHeight="1">
      <c r="O974" s="411"/>
      <c r="P974" s="411"/>
      <c r="Q974" s="411"/>
      <c r="R974" s="411"/>
      <c r="S974" s="411"/>
      <c r="T974" s="411"/>
      <c r="U974" s="411"/>
      <c r="V974" s="411"/>
      <c r="W974" s="411"/>
      <c r="X974" s="411"/>
      <c r="Y974" s="411"/>
      <c r="Z974" s="411"/>
      <c r="AA974" s="411"/>
      <c r="AB974" s="411"/>
      <c r="AC974" s="411"/>
      <c r="AD974" s="411"/>
      <c r="AE974" s="411"/>
      <c r="AF974" s="411"/>
      <c r="AG974" s="411"/>
    </row>
    <row r="975" ht="14.25" customHeight="1">
      <c r="O975" s="411"/>
      <c r="P975" s="411"/>
      <c r="Q975" s="411"/>
      <c r="R975" s="411"/>
      <c r="S975" s="411"/>
      <c r="T975" s="411"/>
      <c r="U975" s="411"/>
      <c r="V975" s="411"/>
      <c r="W975" s="411"/>
      <c r="X975" s="411"/>
      <c r="Y975" s="411"/>
      <c r="Z975" s="411"/>
      <c r="AA975" s="411"/>
      <c r="AB975" s="411"/>
      <c r="AC975" s="411"/>
      <c r="AD975" s="411"/>
      <c r="AE975" s="411"/>
      <c r="AF975" s="411"/>
      <c r="AG975" s="411"/>
    </row>
    <row r="976" ht="14.25" customHeight="1">
      <c r="O976" s="411"/>
      <c r="P976" s="411"/>
      <c r="Q976" s="411"/>
      <c r="R976" s="411"/>
      <c r="S976" s="411"/>
      <c r="T976" s="411"/>
      <c r="U976" s="411"/>
      <c r="V976" s="411"/>
      <c r="W976" s="411"/>
      <c r="X976" s="411"/>
      <c r="Y976" s="411"/>
      <c r="Z976" s="411"/>
      <c r="AA976" s="411"/>
      <c r="AB976" s="411"/>
      <c r="AC976" s="411"/>
      <c r="AD976" s="411"/>
      <c r="AE976" s="411"/>
      <c r="AF976" s="411"/>
      <c r="AG976" s="411"/>
    </row>
    <row r="977" ht="14.25" customHeight="1">
      <c r="O977" s="411"/>
      <c r="P977" s="411"/>
      <c r="Q977" s="411"/>
      <c r="R977" s="411"/>
      <c r="S977" s="411"/>
      <c r="T977" s="411"/>
      <c r="U977" s="411"/>
      <c r="V977" s="411"/>
      <c r="W977" s="411"/>
      <c r="X977" s="411"/>
      <c r="Y977" s="411"/>
      <c r="Z977" s="411"/>
      <c r="AA977" s="411"/>
      <c r="AB977" s="411"/>
      <c r="AC977" s="411"/>
      <c r="AD977" s="411"/>
      <c r="AE977" s="411"/>
      <c r="AF977" s="411"/>
      <c r="AG977" s="411"/>
    </row>
    <row r="978" ht="14.25" customHeight="1">
      <c r="O978" s="411"/>
      <c r="P978" s="411"/>
      <c r="Q978" s="411"/>
      <c r="R978" s="411"/>
      <c r="S978" s="411"/>
      <c r="T978" s="411"/>
      <c r="U978" s="411"/>
      <c r="V978" s="411"/>
      <c r="W978" s="411"/>
      <c r="X978" s="411"/>
      <c r="Y978" s="411"/>
      <c r="Z978" s="411"/>
      <c r="AA978" s="411"/>
      <c r="AB978" s="411"/>
      <c r="AC978" s="411"/>
      <c r="AD978" s="411"/>
      <c r="AE978" s="411"/>
      <c r="AF978" s="411"/>
      <c r="AG978" s="411"/>
    </row>
    <row r="979" ht="14.25" customHeight="1">
      <c r="O979" s="411"/>
      <c r="P979" s="411"/>
      <c r="Q979" s="411"/>
      <c r="R979" s="411"/>
      <c r="S979" s="411"/>
      <c r="T979" s="411"/>
      <c r="U979" s="411"/>
      <c r="V979" s="411"/>
      <c r="W979" s="411"/>
      <c r="X979" s="411"/>
      <c r="Y979" s="411"/>
      <c r="Z979" s="411"/>
      <c r="AA979" s="411"/>
      <c r="AB979" s="411"/>
      <c r="AC979" s="411"/>
      <c r="AD979" s="411"/>
      <c r="AE979" s="411"/>
      <c r="AF979" s="411"/>
      <c r="AG979" s="411"/>
    </row>
    <row r="980" ht="14.25" customHeight="1">
      <c r="O980" s="411"/>
      <c r="P980" s="411"/>
      <c r="Q980" s="411"/>
      <c r="R980" s="411"/>
      <c r="S980" s="411"/>
      <c r="T980" s="411"/>
      <c r="U980" s="411"/>
      <c r="V980" s="411"/>
      <c r="W980" s="411"/>
      <c r="X980" s="411"/>
      <c r="Y980" s="411"/>
      <c r="Z980" s="411"/>
      <c r="AA980" s="411"/>
      <c r="AB980" s="411"/>
      <c r="AC980" s="411"/>
      <c r="AD980" s="411"/>
      <c r="AE980" s="411"/>
      <c r="AF980" s="411"/>
      <c r="AG980" s="411"/>
    </row>
    <row r="981" ht="14.25" customHeight="1">
      <c r="O981" s="411"/>
      <c r="P981" s="411"/>
      <c r="Q981" s="411"/>
      <c r="R981" s="411"/>
      <c r="S981" s="411"/>
      <c r="T981" s="411"/>
      <c r="U981" s="411"/>
      <c r="V981" s="411"/>
      <c r="W981" s="411"/>
      <c r="X981" s="411"/>
      <c r="Y981" s="411"/>
      <c r="Z981" s="411"/>
      <c r="AA981" s="411"/>
      <c r="AB981" s="411"/>
      <c r="AC981" s="411"/>
      <c r="AD981" s="411"/>
      <c r="AE981" s="411"/>
      <c r="AF981" s="411"/>
      <c r="AG981" s="411"/>
    </row>
    <row r="982" ht="14.25" customHeight="1">
      <c r="O982" s="411"/>
      <c r="P982" s="411"/>
      <c r="Q982" s="411"/>
      <c r="R982" s="411"/>
      <c r="S982" s="411"/>
      <c r="T982" s="411"/>
      <c r="U982" s="411"/>
      <c r="V982" s="411"/>
      <c r="W982" s="411"/>
      <c r="X982" s="411"/>
      <c r="Y982" s="411"/>
      <c r="Z982" s="411"/>
      <c r="AA982" s="411"/>
      <c r="AB982" s="411"/>
      <c r="AC982" s="411"/>
      <c r="AD982" s="411"/>
      <c r="AE982" s="411"/>
      <c r="AF982" s="411"/>
      <c r="AG982" s="411"/>
    </row>
    <row r="983" ht="14.25" customHeight="1">
      <c r="O983" s="411"/>
      <c r="P983" s="411"/>
      <c r="Q983" s="411"/>
      <c r="R983" s="411"/>
      <c r="S983" s="411"/>
      <c r="T983" s="411"/>
      <c r="U983" s="411"/>
      <c r="V983" s="411"/>
      <c r="W983" s="411"/>
      <c r="X983" s="411"/>
      <c r="Y983" s="411"/>
      <c r="Z983" s="411"/>
      <c r="AA983" s="411"/>
      <c r="AB983" s="411"/>
      <c r="AC983" s="411"/>
      <c r="AD983" s="411"/>
      <c r="AE983" s="411"/>
      <c r="AF983" s="411"/>
      <c r="AG983" s="411"/>
    </row>
    <row r="984" ht="14.25" customHeight="1">
      <c r="O984" s="411"/>
      <c r="P984" s="411"/>
      <c r="Q984" s="411"/>
      <c r="R984" s="411"/>
      <c r="S984" s="411"/>
      <c r="T984" s="411"/>
      <c r="U984" s="411"/>
      <c r="V984" s="411"/>
      <c r="W984" s="411"/>
      <c r="X984" s="411"/>
      <c r="Y984" s="411"/>
      <c r="Z984" s="411"/>
      <c r="AA984" s="411"/>
      <c r="AB984" s="411"/>
      <c r="AC984" s="411"/>
      <c r="AD984" s="411"/>
      <c r="AE984" s="411"/>
      <c r="AF984" s="411"/>
      <c r="AG984" s="411"/>
    </row>
    <row r="985" ht="14.25" customHeight="1">
      <c r="O985" s="411"/>
      <c r="P985" s="411"/>
      <c r="Q985" s="411"/>
      <c r="R985" s="411"/>
      <c r="S985" s="411"/>
      <c r="T985" s="411"/>
      <c r="U985" s="411"/>
      <c r="V985" s="411"/>
      <c r="W985" s="411"/>
      <c r="X985" s="411"/>
      <c r="Y985" s="411"/>
      <c r="Z985" s="411"/>
      <c r="AA985" s="411"/>
      <c r="AB985" s="411"/>
      <c r="AC985" s="411"/>
      <c r="AD985" s="411"/>
      <c r="AE985" s="411"/>
      <c r="AF985" s="411"/>
      <c r="AG985" s="411"/>
    </row>
    <row r="986" ht="14.25" customHeight="1">
      <c r="O986" s="411"/>
      <c r="P986" s="411"/>
      <c r="Q986" s="411"/>
      <c r="R986" s="411"/>
      <c r="S986" s="411"/>
      <c r="T986" s="411"/>
      <c r="U986" s="411"/>
      <c r="V986" s="411"/>
      <c r="W986" s="411"/>
      <c r="X986" s="411"/>
      <c r="Y986" s="411"/>
      <c r="Z986" s="411"/>
      <c r="AA986" s="411"/>
      <c r="AB986" s="411"/>
      <c r="AC986" s="411"/>
      <c r="AD986" s="411"/>
      <c r="AE986" s="411"/>
      <c r="AF986" s="411"/>
      <c r="AG986" s="411"/>
    </row>
    <row r="987" ht="14.25" customHeight="1">
      <c r="O987" s="411"/>
      <c r="P987" s="411"/>
      <c r="Q987" s="411"/>
      <c r="R987" s="411"/>
      <c r="S987" s="411"/>
      <c r="T987" s="411"/>
      <c r="U987" s="411"/>
      <c r="V987" s="411"/>
      <c r="W987" s="411"/>
      <c r="X987" s="411"/>
      <c r="Y987" s="411"/>
      <c r="Z987" s="411"/>
      <c r="AA987" s="411"/>
      <c r="AB987" s="411"/>
      <c r="AC987" s="411"/>
      <c r="AD987" s="411"/>
      <c r="AE987" s="411"/>
      <c r="AF987" s="411"/>
      <c r="AG987" s="411"/>
    </row>
    <row r="988" ht="14.25" customHeight="1">
      <c r="O988" s="411"/>
      <c r="P988" s="411"/>
      <c r="Q988" s="411"/>
      <c r="R988" s="411"/>
      <c r="S988" s="411"/>
      <c r="T988" s="411"/>
      <c r="U988" s="411"/>
      <c r="V988" s="411"/>
      <c r="W988" s="411"/>
      <c r="X988" s="411"/>
      <c r="Y988" s="411"/>
      <c r="Z988" s="411"/>
      <c r="AA988" s="411"/>
      <c r="AB988" s="411"/>
      <c r="AC988" s="411"/>
      <c r="AD988" s="411"/>
      <c r="AE988" s="411"/>
      <c r="AF988" s="411"/>
      <c r="AG988" s="411"/>
    </row>
    <row r="989" ht="14.25" customHeight="1">
      <c r="O989" s="411"/>
      <c r="P989" s="411"/>
      <c r="Q989" s="411"/>
      <c r="R989" s="411"/>
      <c r="S989" s="411"/>
      <c r="T989" s="411"/>
      <c r="U989" s="411"/>
      <c r="V989" s="411"/>
      <c r="W989" s="411"/>
      <c r="X989" s="411"/>
      <c r="Y989" s="411"/>
      <c r="Z989" s="411"/>
      <c r="AA989" s="411"/>
      <c r="AB989" s="411"/>
      <c r="AC989" s="411"/>
      <c r="AD989" s="411"/>
      <c r="AE989" s="411"/>
      <c r="AF989" s="411"/>
      <c r="AG989" s="411"/>
    </row>
    <row r="990" ht="14.25" customHeight="1">
      <c r="O990" s="411"/>
      <c r="P990" s="411"/>
      <c r="Q990" s="411"/>
      <c r="R990" s="411"/>
      <c r="S990" s="411"/>
      <c r="T990" s="411"/>
      <c r="U990" s="411"/>
      <c r="V990" s="411"/>
      <c r="W990" s="411"/>
      <c r="X990" s="411"/>
      <c r="Y990" s="411"/>
      <c r="Z990" s="411"/>
      <c r="AA990" s="411"/>
      <c r="AB990" s="411"/>
      <c r="AC990" s="411"/>
      <c r="AD990" s="411"/>
      <c r="AE990" s="411"/>
      <c r="AF990" s="411"/>
      <c r="AG990" s="411"/>
    </row>
    <row r="991" ht="14.25" customHeight="1">
      <c r="O991" s="411"/>
      <c r="P991" s="411"/>
      <c r="Q991" s="411"/>
      <c r="R991" s="411"/>
      <c r="S991" s="411"/>
      <c r="T991" s="411"/>
      <c r="U991" s="411"/>
      <c r="V991" s="411"/>
      <c r="W991" s="411"/>
      <c r="X991" s="411"/>
      <c r="Y991" s="411"/>
      <c r="Z991" s="411"/>
      <c r="AA991" s="411"/>
      <c r="AB991" s="411"/>
      <c r="AC991" s="411"/>
      <c r="AD991" s="411"/>
      <c r="AE991" s="411"/>
      <c r="AF991" s="411"/>
      <c r="AG991" s="411"/>
    </row>
    <row r="992" ht="14.25" customHeight="1">
      <c r="O992" s="411"/>
      <c r="P992" s="411"/>
      <c r="Q992" s="411"/>
      <c r="R992" s="411"/>
      <c r="S992" s="411"/>
      <c r="T992" s="411"/>
      <c r="U992" s="411"/>
      <c r="V992" s="411"/>
      <c r="W992" s="411"/>
      <c r="X992" s="411"/>
      <c r="Y992" s="411"/>
      <c r="Z992" s="411"/>
      <c r="AA992" s="411"/>
      <c r="AB992" s="411"/>
      <c r="AC992" s="411"/>
      <c r="AD992" s="411"/>
      <c r="AE992" s="411"/>
      <c r="AF992" s="411"/>
      <c r="AG992" s="411"/>
    </row>
    <row r="993" ht="14.25" customHeight="1">
      <c r="O993" s="411"/>
      <c r="P993" s="411"/>
      <c r="Q993" s="411"/>
      <c r="R993" s="411"/>
      <c r="S993" s="411"/>
      <c r="T993" s="411"/>
      <c r="U993" s="411"/>
      <c r="V993" s="411"/>
      <c r="W993" s="411"/>
      <c r="X993" s="411"/>
      <c r="Y993" s="411"/>
      <c r="Z993" s="411"/>
      <c r="AA993" s="411"/>
      <c r="AB993" s="411"/>
      <c r="AC993" s="411"/>
      <c r="AD993" s="411"/>
      <c r="AE993" s="411"/>
      <c r="AF993" s="411"/>
      <c r="AG993" s="411"/>
    </row>
    <row r="994" ht="14.25" customHeight="1">
      <c r="O994" s="411"/>
      <c r="P994" s="411"/>
      <c r="Q994" s="411"/>
      <c r="R994" s="411"/>
      <c r="S994" s="411"/>
      <c r="T994" s="411"/>
      <c r="U994" s="411"/>
      <c r="V994" s="411"/>
      <c r="W994" s="411"/>
      <c r="X994" s="411"/>
      <c r="Y994" s="411"/>
      <c r="Z994" s="411"/>
      <c r="AA994" s="411"/>
      <c r="AB994" s="411"/>
      <c r="AC994" s="411"/>
      <c r="AD994" s="411"/>
      <c r="AE994" s="411"/>
      <c r="AF994" s="411"/>
      <c r="AG994" s="411"/>
    </row>
    <row r="995" ht="14.25" customHeight="1">
      <c r="O995" s="411"/>
      <c r="P995" s="411"/>
      <c r="Q995" s="411"/>
      <c r="R995" s="411"/>
      <c r="S995" s="411"/>
      <c r="T995" s="411"/>
      <c r="U995" s="411"/>
      <c r="V995" s="411"/>
      <c r="W995" s="411"/>
      <c r="X995" s="411"/>
      <c r="Y995" s="411"/>
      <c r="Z995" s="411"/>
      <c r="AA995" s="411"/>
      <c r="AB995" s="411"/>
      <c r="AC995" s="411"/>
      <c r="AD995" s="411"/>
      <c r="AE995" s="411"/>
      <c r="AF995" s="411"/>
      <c r="AG995" s="411"/>
    </row>
    <row r="996" ht="14.25" customHeight="1">
      <c r="O996" s="411"/>
      <c r="P996" s="411"/>
      <c r="Q996" s="411"/>
      <c r="R996" s="411"/>
      <c r="S996" s="411"/>
      <c r="T996" s="411"/>
      <c r="U996" s="411"/>
      <c r="V996" s="411"/>
      <c r="W996" s="411"/>
      <c r="X996" s="411"/>
      <c r="Y996" s="411"/>
      <c r="Z996" s="411"/>
      <c r="AA996" s="411"/>
      <c r="AB996" s="411"/>
      <c r="AC996" s="411"/>
      <c r="AD996" s="411"/>
      <c r="AE996" s="411"/>
      <c r="AF996" s="411"/>
      <c r="AG996" s="411"/>
    </row>
    <row r="997" ht="14.25" customHeight="1">
      <c r="O997" s="411"/>
      <c r="P997" s="411"/>
      <c r="Q997" s="411"/>
      <c r="R997" s="411"/>
      <c r="S997" s="411"/>
      <c r="T997" s="411"/>
      <c r="U997" s="411"/>
      <c r="V997" s="411"/>
      <c r="W997" s="411"/>
      <c r="X997" s="411"/>
      <c r="Y997" s="411"/>
      <c r="Z997" s="411"/>
      <c r="AA997" s="411"/>
      <c r="AB997" s="411"/>
      <c r="AC997" s="411"/>
      <c r="AD997" s="411"/>
      <c r="AE997" s="411"/>
      <c r="AF997" s="411"/>
      <c r="AG997" s="411"/>
    </row>
    <row r="998" ht="14.25" customHeight="1">
      <c r="O998" s="411"/>
      <c r="P998" s="411"/>
      <c r="Q998" s="411"/>
      <c r="R998" s="411"/>
      <c r="S998" s="411"/>
      <c r="T998" s="411"/>
      <c r="U998" s="411"/>
      <c r="V998" s="411"/>
      <c r="W998" s="411"/>
      <c r="X998" s="411"/>
      <c r="Y998" s="411"/>
      <c r="Z998" s="411"/>
      <c r="AA998" s="411"/>
      <c r="AB998" s="411"/>
      <c r="AC998" s="411"/>
      <c r="AD998" s="411"/>
      <c r="AE998" s="411"/>
      <c r="AF998" s="411"/>
      <c r="AG998" s="411"/>
    </row>
    <row r="999" ht="14.25" customHeight="1">
      <c r="O999" s="411"/>
      <c r="P999" s="411"/>
      <c r="Q999" s="411"/>
      <c r="R999" s="411"/>
      <c r="S999" s="411"/>
      <c r="T999" s="411"/>
      <c r="U999" s="411"/>
      <c r="V999" s="411"/>
      <c r="W999" s="411"/>
      <c r="X999" s="411"/>
      <c r="Y999" s="411"/>
      <c r="Z999" s="411"/>
      <c r="AA999" s="411"/>
      <c r="AB999" s="411"/>
      <c r="AC999" s="411"/>
      <c r="AD999" s="411"/>
      <c r="AE999" s="411"/>
      <c r="AF999" s="411"/>
      <c r="AG999" s="411"/>
    </row>
    <row r="1000" ht="14.25" customHeight="1">
      <c r="O1000" s="411"/>
      <c r="P1000" s="411"/>
      <c r="Q1000" s="411"/>
      <c r="R1000" s="411"/>
      <c r="S1000" s="411"/>
      <c r="T1000" s="411"/>
      <c r="U1000" s="411"/>
      <c r="V1000" s="411"/>
      <c r="W1000" s="411"/>
      <c r="X1000" s="411"/>
      <c r="Y1000" s="411"/>
      <c r="Z1000" s="411"/>
      <c r="AA1000" s="411"/>
      <c r="AB1000" s="411"/>
      <c r="AC1000" s="411"/>
      <c r="AD1000" s="411"/>
      <c r="AE1000" s="411"/>
      <c r="AF1000" s="411"/>
      <c r="AG1000" s="411"/>
    </row>
    <row r="1001" ht="14.25" customHeight="1">
      <c r="O1001" s="411"/>
      <c r="P1001" s="411"/>
      <c r="Q1001" s="411"/>
      <c r="R1001" s="411"/>
      <c r="S1001" s="411"/>
      <c r="T1001" s="411"/>
      <c r="U1001" s="411"/>
      <c r="V1001" s="411"/>
      <c r="W1001" s="411"/>
      <c r="X1001" s="411"/>
      <c r="Y1001" s="411"/>
      <c r="Z1001" s="411"/>
      <c r="AA1001" s="411"/>
      <c r="AB1001" s="411"/>
      <c r="AC1001" s="411"/>
      <c r="AD1001" s="411"/>
      <c r="AE1001" s="411"/>
      <c r="AF1001" s="411"/>
      <c r="AG1001" s="411"/>
    </row>
    <row r="1002" ht="14.25" customHeight="1">
      <c r="O1002" s="411"/>
      <c r="P1002" s="411"/>
      <c r="Q1002" s="411"/>
      <c r="R1002" s="411"/>
      <c r="S1002" s="411"/>
      <c r="T1002" s="411"/>
      <c r="U1002" s="411"/>
      <c r="V1002" s="411"/>
      <c r="W1002" s="411"/>
      <c r="X1002" s="411"/>
      <c r="Y1002" s="411"/>
      <c r="Z1002" s="411"/>
      <c r="AA1002" s="411"/>
      <c r="AB1002" s="411"/>
      <c r="AC1002" s="411"/>
      <c r="AD1002" s="411"/>
      <c r="AE1002" s="411"/>
      <c r="AF1002" s="411"/>
      <c r="AG1002" s="411"/>
    </row>
    <row r="1003" ht="14.25" customHeight="1">
      <c r="O1003" s="411"/>
      <c r="P1003" s="411"/>
      <c r="Q1003" s="411"/>
      <c r="R1003" s="411"/>
      <c r="S1003" s="411"/>
      <c r="T1003" s="411"/>
      <c r="U1003" s="411"/>
      <c r="V1003" s="411"/>
      <c r="W1003" s="411"/>
      <c r="X1003" s="411"/>
      <c r="Y1003" s="411"/>
      <c r="Z1003" s="411"/>
      <c r="AA1003" s="411"/>
      <c r="AB1003" s="411"/>
      <c r="AC1003" s="411"/>
      <c r="AD1003" s="411"/>
      <c r="AE1003" s="411"/>
      <c r="AF1003" s="411"/>
      <c r="AG1003" s="411"/>
    </row>
  </sheetData>
  <mergeCells count="8">
    <mergeCell ref="L2:AC2"/>
    <mergeCell ref="A3:A4"/>
    <mergeCell ref="B3:B4"/>
    <mergeCell ref="C3:C4"/>
    <mergeCell ref="E3:H3"/>
    <mergeCell ref="I3:K3"/>
    <mergeCell ref="L3:M3"/>
    <mergeCell ref="N3:AM3"/>
  </mergeCells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4.43" defaultRowHeight="15.0"/>
  <cols>
    <col customWidth="1" min="1" max="2" width="8.71"/>
    <col customWidth="1" min="3" max="3" width="26.0"/>
    <col customWidth="1" min="4" max="15" width="8.71"/>
    <col customWidth="1" min="16" max="16" width="9.86"/>
    <col customWidth="1" min="17" max="90" width="8.71"/>
  </cols>
  <sheetData>
    <row r="1" ht="14.25" customHeight="1">
      <c r="A1" s="310" t="s">
        <v>7</v>
      </c>
    </row>
    <row r="2" ht="14.25" customHeight="1"/>
    <row r="3" ht="30.0" customHeight="1">
      <c r="A3" s="167" t="s">
        <v>110</v>
      </c>
      <c r="B3" s="503" t="s">
        <v>111</v>
      </c>
      <c r="C3" s="168" t="s">
        <v>112</v>
      </c>
      <c r="D3" s="146" t="s">
        <v>485</v>
      </c>
      <c r="E3" s="20"/>
      <c r="F3" s="21"/>
      <c r="G3" s="504" t="s">
        <v>486</v>
      </c>
      <c r="H3" s="20"/>
      <c r="I3" s="20"/>
      <c r="J3" s="20"/>
      <c r="K3" s="20"/>
      <c r="L3" s="21"/>
      <c r="M3" s="262" t="s">
        <v>487</v>
      </c>
      <c r="N3" s="20"/>
      <c r="O3" s="20"/>
      <c r="P3" s="21"/>
      <c r="Q3" s="146" t="s">
        <v>488</v>
      </c>
      <c r="R3" s="20"/>
      <c r="S3" s="21"/>
      <c r="T3" s="337" t="s">
        <v>489</v>
      </c>
      <c r="U3" s="20"/>
      <c r="V3" s="20"/>
      <c r="W3" s="21"/>
      <c r="X3" s="337" t="s">
        <v>490</v>
      </c>
      <c r="Y3" s="20"/>
      <c r="Z3" s="20"/>
      <c r="AA3" s="20"/>
      <c r="AB3" s="20"/>
      <c r="AC3" s="21"/>
      <c r="AD3" s="262" t="s">
        <v>491</v>
      </c>
      <c r="AE3" s="20"/>
      <c r="AF3" s="20"/>
      <c r="AG3" s="20"/>
      <c r="AH3" s="20"/>
      <c r="AI3" s="21"/>
      <c r="AJ3" s="262" t="s">
        <v>492</v>
      </c>
      <c r="AK3" s="20"/>
      <c r="AL3" s="20"/>
      <c r="AM3" s="21"/>
      <c r="AN3" s="262" t="s">
        <v>493</v>
      </c>
      <c r="AO3" s="20"/>
      <c r="AP3" s="20"/>
      <c r="AQ3" s="21"/>
      <c r="AR3" s="262" t="s">
        <v>494</v>
      </c>
      <c r="AS3" s="20"/>
      <c r="AT3" s="20"/>
      <c r="AU3" s="21"/>
      <c r="AV3" s="146" t="s">
        <v>495</v>
      </c>
      <c r="AW3" s="20"/>
      <c r="AX3" s="20"/>
      <c r="AY3" s="21"/>
      <c r="AZ3" s="146" t="s">
        <v>496</v>
      </c>
      <c r="BA3" s="20"/>
      <c r="BB3" s="20"/>
      <c r="BC3" s="21"/>
      <c r="BD3" s="146" t="s">
        <v>497</v>
      </c>
      <c r="BE3" s="20"/>
      <c r="BF3" s="20"/>
      <c r="BG3" s="21"/>
      <c r="BH3" s="146" t="s">
        <v>498</v>
      </c>
      <c r="BI3" s="20"/>
      <c r="BJ3" s="20"/>
      <c r="BK3" s="20"/>
      <c r="BL3" s="20"/>
      <c r="BM3" s="20"/>
      <c r="BN3" s="21"/>
      <c r="BO3" s="505"/>
      <c r="BP3" s="152"/>
      <c r="BQ3" s="152"/>
      <c r="BR3" s="505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</row>
    <row r="4" ht="27.0" customHeight="1">
      <c r="A4" s="23"/>
      <c r="B4" s="23"/>
      <c r="C4" s="23"/>
      <c r="D4" s="394" t="s">
        <v>67</v>
      </c>
      <c r="E4" s="394" t="s">
        <v>68</v>
      </c>
      <c r="F4" s="394" t="s">
        <v>69</v>
      </c>
      <c r="G4" s="394" t="s">
        <v>499</v>
      </c>
      <c r="H4" s="393" t="s">
        <v>67</v>
      </c>
      <c r="I4" s="393" t="s">
        <v>68</v>
      </c>
      <c r="J4" s="393" t="s">
        <v>69</v>
      </c>
      <c r="K4" s="394" t="s">
        <v>38</v>
      </c>
      <c r="L4" s="394" t="s">
        <v>74</v>
      </c>
      <c r="M4" s="394" t="s">
        <v>500</v>
      </c>
      <c r="N4" s="393" t="s">
        <v>67</v>
      </c>
      <c r="O4" s="393" t="s">
        <v>68</v>
      </c>
      <c r="P4" s="393" t="s">
        <v>69</v>
      </c>
      <c r="Q4" s="393" t="s">
        <v>67</v>
      </c>
      <c r="R4" s="393" t="s">
        <v>68</v>
      </c>
      <c r="S4" s="393" t="s">
        <v>69</v>
      </c>
      <c r="T4" s="394" t="s">
        <v>501</v>
      </c>
      <c r="U4" s="393" t="s">
        <v>67</v>
      </c>
      <c r="V4" s="393" t="s">
        <v>68</v>
      </c>
      <c r="W4" s="393" t="s">
        <v>69</v>
      </c>
      <c r="X4" s="394" t="s">
        <v>502</v>
      </c>
      <c r="Y4" s="393" t="s">
        <v>67</v>
      </c>
      <c r="Z4" s="393" t="s">
        <v>68</v>
      </c>
      <c r="AA4" s="393" t="s">
        <v>69</v>
      </c>
      <c r="AB4" s="394" t="s">
        <v>38</v>
      </c>
      <c r="AC4" s="394" t="s">
        <v>74</v>
      </c>
      <c r="AD4" s="394" t="s">
        <v>503</v>
      </c>
      <c r="AE4" s="393" t="s">
        <v>67</v>
      </c>
      <c r="AF4" s="393" t="s">
        <v>68</v>
      </c>
      <c r="AG4" s="393" t="s">
        <v>69</v>
      </c>
      <c r="AH4" s="394" t="s">
        <v>38</v>
      </c>
      <c r="AI4" s="394" t="s">
        <v>74</v>
      </c>
      <c r="AJ4" s="394" t="s">
        <v>504</v>
      </c>
      <c r="AK4" s="393" t="s">
        <v>67</v>
      </c>
      <c r="AL4" s="393" t="s">
        <v>68</v>
      </c>
      <c r="AM4" s="393" t="s">
        <v>69</v>
      </c>
      <c r="AN4" s="394" t="s">
        <v>505</v>
      </c>
      <c r="AO4" s="393" t="s">
        <v>67</v>
      </c>
      <c r="AP4" s="393" t="s">
        <v>68</v>
      </c>
      <c r="AQ4" s="393" t="s">
        <v>69</v>
      </c>
      <c r="AR4" s="394" t="s">
        <v>506</v>
      </c>
      <c r="AS4" s="393" t="s">
        <v>67</v>
      </c>
      <c r="AT4" s="393" t="s">
        <v>68</v>
      </c>
      <c r="AU4" s="393" t="s">
        <v>69</v>
      </c>
      <c r="AV4" s="394" t="s">
        <v>507</v>
      </c>
      <c r="AW4" s="394" t="s">
        <v>67</v>
      </c>
      <c r="AX4" s="394" t="s">
        <v>68</v>
      </c>
      <c r="AY4" s="394" t="s">
        <v>69</v>
      </c>
      <c r="AZ4" s="394" t="s">
        <v>508</v>
      </c>
      <c r="BA4" s="394" t="s">
        <v>67</v>
      </c>
      <c r="BB4" s="394" t="s">
        <v>68</v>
      </c>
      <c r="BC4" s="394" t="s">
        <v>69</v>
      </c>
      <c r="BD4" s="394" t="s">
        <v>509</v>
      </c>
      <c r="BE4" s="394" t="s">
        <v>67</v>
      </c>
      <c r="BF4" s="394" t="s">
        <v>68</v>
      </c>
      <c r="BG4" s="394" t="s">
        <v>69</v>
      </c>
      <c r="BH4" s="394" t="s">
        <v>510</v>
      </c>
      <c r="BI4" s="394" t="s">
        <v>67</v>
      </c>
      <c r="BJ4" s="394" t="s">
        <v>68</v>
      </c>
      <c r="BK4" s="394" t="s">
        <v>69</v>
      </c>
      <c r="BL4" s="394" t="s">
        <v>38</v>
      </c>
      <c r="BM4" s="394" t="s">
        <v>74</v>
      </c>
      <c r="BN4" s="156" t="s">
        <v>108</v>
      </c>
      <c r="BO4" s="310"/>
      <c r="BP4" s="310"/>
      <c r="BQ4" s="310"/>
      <c r="BR4" s="310"/>
      <c r="BS4" s="310"/>
      <c r="BT4" s="310"/>
      <c r="BU4" s="506"/>
      <c r="BV4" s="506"/>
      <c r="BW4" s="506"/>
      <c r="BX4" s="506"/>
      <c r="BY4" s="506"/>
      <c r="BZ4" s="506"/>
      <c r="CA4" s="506"/>
      <c r="CB4" s="506"/>
      <c r="CC4" s="506"/>
      <c r="CD4" s="506"/>
      <c r="CE4" s="506"/>
      <c r="CF4" s="506"/>
      <c r="CG4" s="506"/>
      <c r="CH4" s="506"/>
      <c r="CI4" s="506"/>
      <c r="CJ4" s="506"/>
      <c r="CK4" s="506"/>
      <c r="CL4" s="506"/>
    </row>
    <row r="5" ht="14.25" customHeight="1">
      <c r="A5" s="181" t="s">
        <v>146</v>
      </c>
      <c r="B5" s="182">
        <v>853.0</v>
      </c>
      <c r="C5" s="182" t="s">
        <v>147</v>
      </c>
      <c r="D5" s="183">
        <v>416.0</v>
      </c>
      <c r="E5" s="183">
        <v>357.0</v>
      </c>
      <c r="F5" s="183">
        <v>59.0</v>
      </c>
      <c r="G5" s="507">
        <f t="shared" ref="G5:G41" si="1">H5/D5</f>
        <v>0.9855769231</v>
      </c>
      <c r="H5" s="183">
        <v>410.0</v>
      </c>
      <c r="I5" s="183">
        <v>352.0</v>
      </c>
      <c r="J5" s="183">
        <f t="shared" ref="J5:J40" si="2">H5-I5</f>
        <v>58</v>
      </c>
      <c r="K5" s="185">
        <v>336.0</v>
      </c>
      <c r="L5" s="185">
        <v>67.0</v>
      </c>
      <c r="M5" s="190">
        <f t="shared" ref="M5:M41" si="3">N5/D5</f>
        <v>0.6129807692</v>
      </c>
      <c r="N5" s="183">
        <v>255.0</v>
      </c>
      <c r="O5" s="183">
        <v>202.0</v>
      </c>
      <c r="P5" s="183">
        <f t="shared" ref="P5:P40" si="4">N5-O5</f>
        <v>53</v>
      </c>
      <c r="Q5" s="183">
        <v>124.0</v>
      </c>
      <c r="R5" s="183">
        <v>99.0</v>
      </c>
      <c r="S5" s="183">
        <f t="shared" ref="S5:S40" si="5">Q5-R5</f>
        <v>25</v>
      </c>
      <c r="T5" s="190">
        <f t="shared" ref="T5:T41" si="6">U5/D5</f>
        <v>0.4495192308</v>
      </c>
      <c r="U5" s="183">
        <v>187.0</v>
      </c>
      <c r="V5" s="183">
        <v>143.0</v>
      </c>
      <c r="W5" s="183">
        <f t="shared" ref="W5:W40" si="7">U5-V5</f>
        <v>44</v>
      </c>
      <c r="X5" s="274">
        <f t="shared" ref="X5:X41" si="8">Y5/D5</f>
        <v>0.6274038462</v>
      </c>
      <c r="Y5" s="183">
        <v>261.0</v>
      </c>
      <c r="Z5" s="183">
        <v>229.0</v>
      </c>
      <c r="AA5" s="183">
        <f t="shared" ref="AA5:AA40" si="9">Y5-Z5</f>
        <v>32</v>
      </c>
      <c r="AB5" s="183">
        <v>235.0</v>
      </c>
      <c r="AC5" s="185">
        <v>23.0</v>
      </c>
      <c r="AD5" s="190">
        <f t="shared" ref="AD5:AD41" si="10">AE5/D5</f>
        <v>0.3533653846</v>
      </c>
      <c r="AE5" s="183">
        <v>147.0</v>
      </c>
      <c r="AF5" s="183">
        <v>125.0</v>
      </c>
      <c r="AG5" s="183">
        <f t="shared" ref="AG5:AG40" si="11">AE5-AF5</f>
        <v>22</v>
      </c>
      <c r="AH5" s="183">
        <v>131.0</v>
      </c>
      <c r="AI5" s="185">
        <v>13.0</v>
      </c>
      <c r="AJ5" s="507">
        <f t="shared" ref="AJ5:AJ41" si="12">AK5/D5</f>
        <v>1</v>
      </c>
      <c r="AK5" s="183">
        <v>416.0</v>
      </c>
      <c r="AL5" s="183">
        <v>357.0</v>
      </c>
      <c r="AM5" s="183">
        <f t="shared" ref="AM5:AM40" si="13">AK5-AL5</f>
        <v>59</v>
      </c>
      <c r="AN5" s="507">
        <f t="shared" ref="AN5:AN41" si="14">AO5/D5</f>
        <v>0.9927884615</v>
      </c>
      <c r="AO5" s="183">
        <v>413.0</v>
      </c>
      <c r="AP5" s="183">
        <v>355.0</v>
      </c>
      <c r="AQ5" s="183">
        <f t="shared" ref="AQ5:AQ40" si="15">AO5-AP5</f>
        <v>58</v>
      </c>
      <c r="AR5" s="507">
        <f t="shared" ref="AR5:AR41" si="16">AS5/D5</f>
        <v>0.9951923077</v>
      </c>
      <c r="AS5" s="183">
        <f t="shared" ref="AS5:AS40" si="17">AT5+AU5</f>
        <v>414</v>
      </c>
      <c r="AT5" s="183">
        <v>356.0</v>
      </c>
      <c r="AU5" s="183">
        <v>58.0</v>
      </c>
      <c r="AV5" s="209">
        <f t="shared" ref="AV5:AV41" si="18">AW5/D5</f>
        <v>0.8677884615</v>
      </c>
      <c r="AW5" s="185">
        <v>361.0</v>
      </c>
      <c r="AX5" s="185">
        <v>303.0</v>
      </c>
      <c r="AY5" s="183">
        <f t="shared" ref="AY5:AY40" si="19">AW5-AX5</f>
        <v>58</v>
      </c>
      <c r="AZ5" s="209">
        <f t="shared" ref="AZ5:AZ41" si="20">BA5/D5</f>
        <v>0.9278846154</v>
      </c>
      <c r="BA5" s="185">
        <v>386.0</v>
      </c>
      <c r="BB5" s="185">
        <v>327.0</v>
      </c>
      <c r="BC5" s="185">
        <f t="shared" ref="BC5:BC40" si="21">BA5-BB5</f>
        <v>59</v>
      </c>
      <c r="BD5" s="508">
        <f t="shared" ref="BD5:BD41" si="22">BE5/D5</f>
        <v>0.4735576923</v>
      </c>
      <c r="BE5" s="185">
        <v>197.0</v>
      </c>
      <c r="BF5" s="185">
        <v>160.0</v>
      </c>
      <c r="BG5" s="185">
        <f t="shared" ref="BG5:BG40" si="23">BE5-BF5</f>
        <v>37</v>
      </c>
      <c r="BH5" s="508">
        <f t="shared" ref="BH5:BH41" si="24">BI5/D5</f>
        <v>0.7355769231</v>
      </c>
      <c r="BI5" s="185">
        <v>306.0</v>
      </c>
      <c r="BJ5" s="226">
        <v>275.0</v>
      </c>
      <c r="BK5" s="185">
        <f t="shared" ref="BK5:BK41" si="25">BI5-BJ5</f>
        <v>31</v>
      </c>
      <c r="BL5" s="185">
        <v>302.0</v>
      </c>
      <c r="BM5" s="185">
        <v>0.0</v>
      </c>
      <c r="BN5" s="185">
        <v>3.0</v>
      </c>
      <c r="BO5" s="509"/>
      <c r="BP5" s="509"/>
      <c r="BQ5" s="509"/>
      <c r="BR5" s="509"/>
      <c r="BS5" s="509"/>
      <c r="BT5" s="509"/>
      <c r="BU5" s="509"/>
      <c r="BV5" s="509"/>
      <c r="BW5" s="509"/>
      <c r="BX5" s="509"/>
      <c r="BY5" s="509"/>
      <c r="BZ5" s="509"/>
      <c r="CA5" s="509"/>
      <c r="CB5" s="509"/>
      <c r="CC5" s="509"/>
      <c r="CD5" s="509"/>
      <c r="CE5" s="509"/>
      <c r="CF5" s="509"/>
      <c r="CG5" s="509"/>
      <c r="CH5" s="509"/>
      <c r="CI5" s="509"/>
      <c r="CJ5" s="509"/>
      <c r="CK5" s="509"/>
      <c r="CL5" s="509"/>
    </row>
    <row r="6" ht="14.25" customHeight="1">
      <c r="A6" s="181" t="s">
        <v>148</v>
      </c>
      <c r="B6" s="182">
        <v>902.0</v>
      </c>
      <c r="C6" s="182" t="s">
        <v>149</v>
      </c>
      <c r="D6" s="183">
        <v>61948.0</v>
      </c>
      <c r="E6" s="183">
        <v>49810.0</v>
      </c>
      <c r="F6" s="183">
        <v>12138.0</v>
      </c>
      <c r="G6" s="507">
        <f t="shared" si="1"/>
        <v>0.9498773165</v>
      </c>
      <c r="H6" s="183">
        <v>58843.0</v>
      </c>
      <c r="I6" s="183">
        <v>47368.0</v>
      </c>
      <c r="J6" s="183">
        <f t="shared" si="2"/>
        <v>11475</v>
      </c>
      <c r="K6" s="185">
        <v>40461.0</v>
      </c>
      <c r="L6" s="185">
        <v>14390.0</v>
      </c>
      <c r="M6" s="190">
        <f t="shared" si="3"/>
        <v>0.3814005295</v>
      </c>
      <c r="N6" s="183">
        <v>23627.0</v>
      </c>
      <c r="O6" s="183">
        <v>15943.0</v>
      </c>
      <c r="P6" s="183">
        <f t="shared" si="4"/>
        <v>7684</v>
      </c>
      <c r="Q6" s="183">
        <v>578.0</v>
      </c>
      <c r="R6" s="183">
        <v>477.0</v>
      </c>
      <c r="S6" s="183">
        <f t="shared" si="5"/>
        <v>101</v>
      </c>
      <c r="T6" s="190">
        <f t="shared" si="6"/>
        <v>0.5608574934</v>
      </c>
      <c r="U6" s="183">
        <v>34744.0</v>
      </c>
      <c r="V6" s="183">
        <v>25762.0</v>
      </c>
      <c r="W6" s="183">
        <f t="shared" si="7"/>
        <v>8982</v>
      </c>
      <c r="X6" s="274">
        <f t="shared" si="8"/>
        <v>0.537644476</v>
      </c>
      <c r="Y6" s="183">
        <v>33306.0</v>
      </c>
      <c r="Z6" s="183">
        <v>27779.0</v>
      </c>
      <c r="AA6" s="183">
        <f t="shared" si="9"/>
        <v>5527</v>
      </c>
      <c r="AB6" s="183">
        <v>26258.0</v>
      </c>
      <c r="AC6" s="185">
        <v>5441.0</v>
      </c>
      <c r="AD6" s="190">
        <f t="shared" si="10"/>
        <v>0.3591883515</v>
      </c>
      <c r="AE6" s="183">
        <v>22251.0</v>
      </c>
      <c r="AF6" s="183">
        <v>18519.0</v>
      </c>
      <c r="AG6" s="183">
        <f t="shared" si="11"/>
        <v>3732</v>
      </c>
      <c r="AH6" s="183">
        <v>17260.0</v>
      </c>
      <c r="AI6" s="185">
        <v>4014.0</v>
      </c>
      <c r="AJ6" s="507">
        <f t="shared" si="12"/>
        <v>0.9911700136</v>
      </c>
      <c r="AK6" s="183">
        <v>61401.0</v>
      </c>
      <c r="AL6" s="183">
        <v>49335.0</v>
      </c>
      <c r="AM6" s="183">
        <f t="shared" si="13"/>
        <v>12066</v>
      </c>
      <c r="AN6" s="507">
        <f t="shared" si="14"/>
        <v>0.8359753342</v>
      </c>
      <c r="AO6" s="183">
        <v>51787.0</v>
      </c>
      <c r="AP6" s="183">
        <v>40771.0</v>
      </c>
      <c r="AQ6" s="183">
        <f t="shared" si="15"/>
        <v>11016</v>
      </c>
      <c r="AR6" s="507">
        <f t="shared" si="16"/>
        <v>0.9568831924</v>
      </c>
      <c r="AS6" s="183">
        <f t="shared" si="17"/>
        <v>59277</v>
      </c>
      <c r="AT6" s="183">
        <v>47398.0</v>
      </c>
      <c r="AU6" s="183">
        <v>11879.0</v>
      </c>
      <c r="AV6" s="209">
        <f t="shared" si="18"/>
        <v>0.9423387357</v>
      </c>
      <c r="AW6" s="185">
        <v>58376.0</v>
      </c>
      <c r="AX6" s="185">
        <v>46724.0</v>
      </c>
      <c r="AY6" s="183">
        <f t="shared" si="19"/>
        <v>11652</v>
      </c>
      <c r="AZ6" s="209">
        <f t="shared" si="20"/>
        <v>0.97959579</v>
      </c>
      <c r="BA6" s="185">
        <v>60684.0</v>
      </c>
      <c r="BB6" s="185">
        <v>48600.0</v>
      </c>
      <c r="BC6" s="185">
        <f t="shared" si="21"/>
        <v>12084</v>
      </c>
      <c r="BD6" s="508">
        <f t="shared" si="22"/>
        <v>0.7177955705</v>
      </c>
      <c r="BE6" s="185">
        <v>44466.0</v>
      </c>
      <c r="BF6" s="185">
        <v>34015.0</v>
      </c>
      <c r="BG6" s="185">
        <f t="shared" si="23"/>
        <v>10451</v>
      </c>
      <c r="BH6" s="508">
        <f t="shared" si="24"/>
        <v>0.7270614063</v>
      </c>
      <c r="BI6" s="185">
        <v>45040.0</v>
      </c>
      <c r="BJ6" s="226">
        <v>40548.0</v>
      </c>
      <c r="BK6" s="185">
        <f t="shared" si="25"/>
        <v>4492</v>
      </c>
      <c r="BL6" s="185">
        <v>41195.0</v>
      </c>
      <c r="BM6" s="185">
        <v>0.0</v>
      </c>
      <c r="BN6" s="185">
        <v>11483.0</v>
      </c>
      <c r="BO6" s="352"/>
      <c r="BP6" s="352"/>
      <c r="BR6" s="352"/>
      <c r="BS6" s="352"/>
      <c r="BT6" s="509"/>
      <c r="BU6" s="509"/>
      <c r="BV6" s="509"/>
      <c r="BW6" s="509"/>
      <c r="BX6" s="509"/>
      <c r="BY6" s="509"/>
      <c r="BZ6" s="509"/>
      <c r="CA6" s="509"/>
      <c r="CB6" s="509"/>
      <c r="CC6" s="509"/>
      <c r="CD6" s="509"/>
      <c r="CE6" s="509"/>
      <c r="CF6" s="509"/>
      <c r="CG6" s="509"/>
      <c r="CH6" s="509"/>
      <c r="CI6" s="509"/>
      <c r="CJ6" s="509"/>
      <c r="CK6" s="509"/>
      <c r="CL6" s="509"/>
    </row>
    <row r="7" ht="14.25" customHeight="1">
      <c r="A7" s="181" t="s">
        <v>150</v>
      </c>
      <c r="B7" s="182">
        <v>669.0</v>
      </c>
      <c r="C7" s="182" t="s">
        <v>151</v>
      </c>
      <c r="D7" s="183">
        <v>3603.0</v>
      </c>
      <c r="E7" s="183">
        <v>3234.0</v>
      </c>
      <c r="F7" s="183">
        <v>369.0</v>
      </c>
      <c r="G7" s="507">
        <f t="shared" si="1"/>
        <v>0.3008603941</v>
      </c>
      <c r="H7" s="183">
        <v>1084.0</v>
      </c>
      <c r="I7" s="183">
        <v>908.0</v>
      </c>
      <c r="J7" s="183">
        <f t="shared" si="2"/>
        <v>176</v>
      </c>
      <c r="K7" s="185">
        <v>697.0</v>
      </c>
      <c r="L7" s="185">
        <v>279.0</v>
      </c>
      <c r="M7" s="190">
        <f t="shared" si="3"/>
        <v>0.2306411324</v>
      </c>
      <c r="N7" s="183">
        <v>831.0</v>
      </c>
      <c r="O7" s="183">
        <v>621.0</v>
      </c>
      <c r="P7" s="183">
        <f t="shared" si="4"/>
        <v>210</v>
      </c>
      <c r="Q7" s="183">
        <v>134.0</v>
      </c>
      <c r="R7" s="183">
        <v>102.0</v>
      </c>
      <c r="S7" s="183">
        <f t="shared" si="5"/>
        <v>32</v>
      </c>
      <c r="T7" s="190">
        <f t="shared" si="6"/>
        <v>0.2203719123</v>
      </c>
      <c r="U7" s="183">
        <v>794.0</v>
      </c>
      <c r="V7" s="183">
        <v>628.0</v>
      </c>
      <c r="W7" s="183">
        <f t="shared" si="7"/>
        <v>166</v>
      </c>
      <c r="X7" s="274">
        <f t="shared" si="8"/>
        <v>0.2453510963</v>
      </c>
      <c r="Y7" s="183">
        <v>884.0</v>
      </c>
      <c r="Z7" s="183">
        <v>786.0</v>
      </c>
      <c r="AA7" s="183">
        <f t="shared" si="9"/>
        <v>98</v>
      </c>
      <c r="AB7" s="183">
        <v>752.0</v>
      </c>
      <c r="AC7" s="185">
        <v>85.0</v>
      </c>
      <c r="AD7" s="190">
        <f t="shared" si="10"/>
        <v>0.1767971135</v>
      </c>
      <c r="AE7" s="183">
        <v>637.0</v>
      </c>
      <c r="AF7" s="183">
        <v>587.0</v>
      </c>
      <c r="AG7" s="183">
        <f t="shared" si="11"/>
        <v>50</v>
      </c>
      <c r="AH7" s="183">
        <v>562.0</v>
      </c>
      <c r="AI7" s="185">
        <v>46.0</v>
      </c>
      <c r="AJ7" s="507">
        <f t="shared" si="12"/>
        <v>0.6794338052</v>
      </c>
      <c r="AK7" s="183">
        <v>2448.0</v>
      </c>
      <c r="AL7" s="183">
        <v>2133.0</v>
      </c>
      <c r="AM7" s="183">
        <f t="shared" si="13"/>
        <v>315</v>
      </c>
      <c r="AN7" s="507">
        <f t="shared" si="14"/>
        <v>0.6724951429</v>
      </c>
      <c r="AO7" s="183">
        <v>2423.0</v>
      </c>
      <c r="AP7" s="183">
        <v>2085.0</v>
      </c>
      <c r="AQ7" s="183">
        <f t="shared" si="15"/>
        <v>338</v>
      </c>
      <c r="AR7" s="507">
        <f t="shared" si="16"/>
        <v>0.6869275604</v>
      </c>
      <c r="AS7" s="183">
        <f t="shared" si="17"/>
        <v>2475</v>
      </c>
      <c r="AT7" s="183">
        <v>2126.0</v>
      </c>
      <c r="AU7" s="183">
        <v>349.0</v>
      </c>
      <c r="AV7" s="209">
        <f t="shared" si="18"/>
        <v>0.7194004996</v>
      </c>
      <c r="AW7" s="185">
        <v>2592.0</v>
      </c>
      <c r="AX7" s="185">
        <v>2244.0</v>
      </c>
      <c r="AY7" s="183">
        <f t="shared" si="19"/>
        <v>348</v>
      </c>
      <c r="AZ7" s="209">
        <f t="shared" si="20"/>
        <v>0.5378850958</v>
      </c>
      <c r="BA7" s="185">
        <v>1938.0</v>
      </c>
      <c r="BB7" s="185">
        <v>1596.0</v>
      </c>
      <c r="BC7" s="185">
        <f t="shared" si="21"/>
        <v>342</v>
      </c>
      <c r="BD7" s="508">
        <f t="shared" si="22"/>
        <v>0.3066888704</v>
      </c>
      <c r="BE7" s="185">
        <v>1105.0</v>
      </c>
      <c r="BF7" s="185">
        <v>906.0</v>
      </c>
      <c r="BG7" s="185">
        <f t="shared" si="23"/>
        <v>199</v>
      </c>
      <c r="BH7" s="508">
        <f t="shared" si="24"/>
        <v>0.6816541771</v>
      </c>
      <c r="BI7" s="185">
        <v>2456.0</v>
      </c>
      <c r="BJ7" s="226">
        <v>2295.0</v>
      </c>
      <c r="BK7" s="185">
        <f t="shared" si="25"/>
        <v>161</v>
      </c>
      <c r="BL7" s="185">
        <v>2389.0</v>
      </c>
      <c r="BM7" s="185">
        <v>0.0</v>
      </c>
      <c r="BN7" s="185">
        <v>625.0</v>
      </c>
      <c r="BO7" s="352"/>
      <c r="BP7" s="352"/>
      <c r="BR7" s="352"/>
      <c r="BS7" s="352"/>
      <c r="BT7" s="509"/>
      <c r="BU7" s="509"/>
      <c r="BV7" s="509"/>
      <c r="BW7" s="509"/>
      <c r="BX7" s="509"/>
      <c r="BY7" s="509"/>
      <c r="BZ7" s="509"/>
      <c r="CA7" s="509"/>
      <c r="CB7" s="509"/>
      <c r="CC7" s="509"/>
      <c r="CD7" s="509"/>
      <c r="CE7" s="509"/>
      <c r="CF7" s="509"/>
      <c r="CG7" s="509"/>
      <c r="CH7" s="509"/>
      <c r="CI7" s="509"/>
      <c r="CJ7" s="509"/>
      <c r="CK7" s="509"/>
      <c r="CL7" s="509"/>
    </row>
    <row r="8" ht="14.25" customHeight="1">
      <c r="A8" s="181" t="s">
        <v>150</v>
      </c>
      <c r="B8" s="182">
        <v>848.0</v>
      </c>
      <c r="C8" s="182" t="s">
        <v>152</v>
      </c>
      <c r="D8" s="183">
        <v>60859.0</v>
      </c>
      <c r="E8" s="183">
        <v>57473.0</v>
      </c>
      <c r="F8" s="183">
        <v>3386.0</v>
      </c>
      <c r="G8" s="507">
        <f t="shared" si="1"/>
        <v>0.7251022856</v>
      </c>
      <c r="H8" s="183">
        <v>44129.0</v>
      </c>
      <c r="I8" s="183">
        <v>41484.0</v>
      </c>
      <c r="J8" s="183">
        <f t="shared" si="2"/>
        <v>2645</v>
      </c>
      <c r="K8" s="185">
        <v>37891.0</v>
      </c>
      <c r="L8" s="185">
        <v>3595.0</v>
      </c>
      <c r="M8" s="190">
        <f t="shared" si="3"/>
        <v>0.0982927751</v>
      </c>
      <c r="N8" s="183">
        <v>5982.0</v>
      </c>
      <c r="O8" s="183">
        <v>4694.0</v>
      </c>
      <c r="P8" s="183">
        <f t="shared" si="4"/>
        <v>1288</v>
      </c>
      <c r="Q8" s="183">
        <v>2539.0</v>
      </c>
      <c r="R8" s="183">
        <v>2048.0</v>
      </c>
      <c r="S8" s="183">
        <f t="shared" si="5"/>
        <v>491</v>
      </c>
      <c r="T8" s="190">
        <f t="shared" si="6"/>
        <v>0.1170903235</v>
      </c>
      <c r="U8" s="183">
        <v>7126.0</v>
      </c>
      <c r="V8" s="183">
        <v>6058.0</v>
      </c>
      <c r="W8" s="183">
        <f t="shared" si="7"/>
        <v>1068</v>
      </c>
      <c r="X8" s="274">
        <f t="shared" si="8"/>
        <v>0.6932088927</v>
      </c>
      <c r="Y8" s="183">
        <v>42188.0</v>
      </c>
      <c r="Z8" s="183">
        <v>40148.0</v>
      </c>
      <c r="AA8" s="183">
        <f t="shared" si="9"/>
        <v>2040</v>
      </c>
      <c r="AB8" s="183">
        <v>40674.0</v>
      </c>
      <c r="AC8" s="185">
        <v>839.0</v>
      </c>
      <c r="AD8" s="190">
        <f t="shared" si="10"/>
        <v>0.615652574</v>
      </c>
      <c r="AE8" s="183">
        <v>37468.0</v>
      </c>
      <c r="AF8" s="183">
        <v>35740.0</v>
      </c>
      <c r="AG8" s="183">
        <f t="shared" si="11"/>
        <v>1728</v>
      </c>
      <c r="AH8" s="183">
        <v>36559.0</v>
      </c>
      <c r="AI8" s="185">
        <v>526.0</v>
      </c>
      <c r="AJ8" s="507">
        <f t="shared" si="12"/>
        <v>0.9133571041</v>
      </c>
      <c r="AK8" s="183">
        <v>55586.0</v>
      </c>
      <c r="AL8" s="183">
        <v>52396.0</v>
      </c>
      <c r="AM8" s="183">
        <f t="shared" si="13"/>
        <v>3190</v>
      </c>
      <c r="AN8" s="507">
        <f t="shared" si="14"/>
        <v>0.7649813503</v>
      </c>
      <c r="AO8" s="183">
        <v>46556.0</v>
      </c>
      <c r="AP8" s="183">
        <v>43640.0</v>
      </c>
      <c r="AQ8" s="183">
        <f t="shared" si="15"/>
        <v>2916</v>
      </c>
      <c r="AR8" s="507">
        <f t="shared" si="16"/>
        <v>0.8242002005</v>
      </c>
      <c r="AS8" s="183">
        <f t="shared" si="17"/>
        <v>50160</v>
      </c>
      <c r="AT8" s="183">
        <v>47010.0</v>
      </c>
      <c r="AU8" s="183">
        <v>3150.0</v>
      </c>
      <c r="AV8" s="209">
        <f t="shared" si="18"/>
        <v>0.8173975912</v>
      </c>
      <c r="AW8" s="185">
        <v>49746.0</v>
      </c>
      <c r="AX8" s="185">
        <v>46464.0</v>
      </c>
      <c r="AY8" s="183">
        <f t="shared" si="19"/>
        <v>3282</v>
      </c>
      <c r="AZ8" s="209">
        <f t="shared" si="20"/>
        <v>0.7506367177</v>
      </c>
      <c r="BA8" s="185">
        <v>45683.0</v>
      </c>
      <c r="BB8" s="185">
        <v>42556.0</v>
      </c>
      <c r="BC8" s="185">
        <f t="shared" si="21"/>
        <v>3127</v>
      </c>
      <c r="BD8" s="508">
        <f t="shared" si="22"/>
        <v>0.2894066613</v>
      </c>
      <c r="BE8" s="185">
        <v>17613.0</v>
      </c>
      <c r="BF8" s="185">
        <v>16142.0</v>
      </c>
      <c r="BG8" s="185">
        <f t="shared" si="23"/>
        <v>1471</v>
      </c>
      <c r="BH8" s="508">
        <f t="shared" si="24"/>
        <v>0.7273205278</v>
      </c>
      <c r="BI8" s="185">
        <v>44264.0</v>
      </c>
      <c r="BJ8" s="226">
        <v>42317.0</v>
      </c>
      <c r="BK8" s="185">
        <f t="shared" si="25"/>
        <v>1947</v>
      </c>
      <c r="BL8" s="185">
        <v>41441.0</v>
      </c>
      <c r="BM8" s="185">
        <v>0.0</v>
      </c>
      <c r="BN8" s="185">
        <v>2786.0</v>
      </c>
      <c r="BO8" s="352"/>
      <c r="BP8" s="352"/>
      <c r="BR8" s="352"/>
      <c r="BS8" s="352"/>
      <c r="BT8" s="509"/>
      <c r="BU8" s="509"/>
      <c r="BV8" s="509"/>
      <c r="BW8" s="509"/>
      <c r="BX8" s="509"/>
      <c r="BY8" s="509"/>
      <c r="BZ8" s="509"/>
      <c r="CA8" s="509"/>
      <c r="CB8" s="509"/>
      <c r="CC8" s="509"/>
      <c r="CD8" s="509"/>
      <c r="CE8" s="509"/>
      <c r="CF8" s="509"/>
      <c r="CG8" s="509"/>
      <c r="CH8" s="509"/>
      <c r="CI8" s="509"/>
      <c r="CJ8" s="509"/>
      <c r="CK8" s="509"/>
      <c r="CL8" s="509"/>
    </row>
    <row r="9" ht="14.25" customHeight="1">
      <c r="A9" s="181" t="s">
        <v>153</v>
      </c>
      <c r="B9" s="182">
        <v>773.0</v>
      </c>
      <c r="C9" s="182" t="s">
        <v>154</v>
      </c>
      <c r="D9" s="183">
        <v>93165.0</v>
      </c>
      <c r="E9" s="183">
        <v>84040.0</v>
      </c>
      <c r="F9" s="183">
        <v>9125.0</v>
      </c>
      <c r="G9" s="507">
        <f t="shared" si="1"/>
        <v>0.3958246122</v>
      </c>
      <c r="H9" s="183">
        <v>36877.0</v>
      </c>
      <c r="I9" s="183">
        <v>31560.0</v>
      </c>
      <c r="J9" s="183">
        <f t="shared" si="2"/>
        <v>5317</v>
      </c>
      <c r="K9" s="185">
        <v>26326.0</v>
      </c>
      <c r="L9" s="185">
        <v>5812.0</v>
      </c>
      <c r="M9" s="190">
        <f t="shared" si="3"/>
        <v>0.09242741373</v>
      </c>
      <c r="N9" s="183">
        <v>8611.0</v>
      </c>
      <c r="O9" s="183">
        <v>5824.0</v>
      </c>
      <c r="P9" s="183">
        <f t="shared" si="4"/>
        <v>2787</v>
      </c>
      <c r="Q9" s="183">
        <v>1506.0</v>
      </c>
      <c r="R9" s="183">
        <v>899.0</v>
      </c>
      <c r="S9" s="183">
        <f t="shared" si="5"/>
        <v>607</v>
      </c>
      <c r="T9" s="190">
        <f t="shared" si="6"/>
        <v>0.1114259647</v>
      </c>
      <c r="U9" s="183">
        <v>10381.0</v>
      </c>
      <c r="V9" s="183">
        <v>7920.0</v>
      </c>
      <c r="W9" s="183">
        <f t="shared" si="7"/>
        <v>2461</v>
      </c>
      <c r="X9" s="274">
        <f t="shared" si="8"/>
        <v>0.7103418666</v>
      </c>
      <c r="Y9" s="183">
        <v>66179.0</v>
      </c>
      <c r="Z9" s="183">
        <v>61085.0</v>
      </c>
      <c r="AA9" s="183">
        <f t="shared" si="9"/>
        <v>5094</v>
      </c>
      <c r="AB9" s="183">
        <v>59497.0</v>
      </c>
      <c r="AC9" s="185">
        <v>3120.0</v>
      </c>
      <c r="AD9" s="190">
        <f t="shared" si="10"/>
        <v>0.3751301454</v>
      </c>
      <c r="AE9" s="183">
        <v>34949.0</v>
      </c>
      <c r="AF9" s="183">
        <v>32468.0</v>
      </c>
      <c r="AG9" s="183">
        <f t="shared" si="11"/>
        <v>2481</v>
      </c>
      <c r="AH9" s="183">
        <v>31145.0</v>
      </c>
      <c r="AI9" s="185">
        <v>1929.0</v>
      </c>
      <c r="AJ9" s="507">
        <f t="shared" si="12"/>
        <v>0.9926045189</v>
      </c>
      <c r="AK9" s="183">
        <v>92476.0</v>
      </c>
      <c r="AL9" s="183">
        <v>83400.0</v>
      </c>
      <c r="AM9" s="183">
        <f t="shared" si="13"/>
        <v>9076</v>
      </c>
      <c r="AN9" s="507">
        <f t="shared" si="14"/>
        <v>0.9553158375</v>
      </c>
      <c r="AO9" s="183">
        <v>89002.0</v>
      </c>
      <c r="AP9" s="183">
        <v>80500.0</v>
      </c>
      <c r="AQ9" s="183">
        <f t="shared" si="15"/>
        <v>8502</v>
      </c>
      <c r="AR9" s="507">
        <f t="shared" si="16"/>
        <v>0.9745719959</v>
      </c>
      <c r="AS9" s="183">
        <f t="shared" si="17"/>
        <v>90796</v>
      </c>
      <c r="AT9" s="183">
        <v>81865.0</v>
      </c>
      <c r="AU9" s="183">
        <v>8931.0</v>
      </c>
      <c r="AV9" s="209">
        <f t="shared" si="18"/>
        <v>0.8617613911</v>
      </c>
      <c r="AW9" s="185">
        <v>80286.0</v>
      </c>
      <c r="AX9" s="185">
        <v>72044.0</v>
      </c>
      <c r="AY9" s="183">
        <f t="shared" si="19"/>
        <v>8242</v>
      </c>
      <c r="AZ9" s="209">
        <f t="shared" si="20"/>
        <v>0.8754789889</v>
      </c>
      <c r="BA9" s="185">
        <v>81564.0</v>
      </c>
      <c r="BB9" s="185">
        <v>72935.0</v>
      </c>
      <c r="BC9" s="185">
        <f t="shared" si="21"/>
        <v>8629</v>
      </c>
      <c r="BD9" s="508">
        <f t="shared" si="22"/>
        <v>0.58816079</v>
      </c>
      <c r="BE9" s="185">
        <v>54796.0</v>
      </c>
      <c r="BF9" s="185">
        <v>47764.0</v>
      </c>
      <c r="BG9" s="185">
        <f t="shared" si="23"/>
        <v>7032</v>
      </c>
      <c r="BH9" s="508">
        <f t="shared" si="24"/>
        <v>0.3489185853</v>
      </c>
      <c r="BI9" s="185">
        <v>32507.0</v>
      </c>
      <c r="BJ9" s="226">
        <v>30490.0</v>
      </c>
      <c r="BK9" s="185">
        <f t="shared" si="25"/>
        <v>2017</v>
      </c>
      <c r="BL9" s="185">
        <v>32233.0</v>
      </c>
      <c r="BM9" s="185">
        <v>0.0</v>
      </c>
      <c r="BN9" s="185">
        <v>1932.0</v>
      </c>
      <c r="BO9" s="352"/>
      <c r="BP9" s="352"/>
      <c r="BR9" s="352"/>
      <c r="BS9" s="352"/>
      <c r="BT9" s="509"/>
      <c r="BU9" s="509"/>
      <c r="BV9" s="509"/>
      <c r="BW9" s="509"/>
      <c r="BX9" s="509"/>
      <c r="BY9" s="509"/>
      <c r="BZ9" s="509"/>
      <c r="CA9" s="509"/>
      <c r="CB9" s="509"/>
      <c r="CC9" s="509"/>
      <c r="CD9" s="509"/>
      <c r="CE9" s="509"/>
      <c r="CF9" s="509"/>
      <c r="CG9" s="509"/>
      <c r="CH9" s="509"/>
      <c r="CI9" s="509"/>
      <c r="CJ9" s="509"/>
      <c r="CK9" s="509"/>
      <c r="CL9" s="509"/>
    </row>
    <row r="10" ht="14.25" customHeight="1">
      <c r="A10" s="181" t="s">
        <v>155</v>
      </c>
      <c r="B10" s="182">
        <v>927.0</v>
      </c>
      <c r="C10" s="182" t="s">
        <v>156</v>
      </c>
      <c r="D10" s="183">
        <v>233.0</v>
      </c>
      <c r="E10" s="183">
        <v>0.0</v>
      </c>
      <c r="F10" s="183">
        <v>233.0</v>
      </c>
      <c r="G10" s="507">
        <f t="shared" si="1"/>
        <v>0.9570815451</v>
      </c>
      <c r="H10" s="183">
        <v>223.0</v>
      </c>
      <c r="I10" s="510">
        <v>0.0</v>
      </c>
      <c r="J10" s="183">
        <f t="shared" si="2"/>
        <v>223</v>
      </c>
      <c r="K10" s="185">
        <v>115.0</v>
      </c>
      <c r="L10" s="185">
        <v>75.0</v>
      </c>
      <c r="M10" s="190">
        <f t="shared" si="3"/>
        <v>0.9871244635</v>
      </c>
      <c r="N10" s="183">
        <v>230.0</v>
      </c>
      <c r="O10" s="183">
        <v>0.0</v>
      </c>
      <c r="P10" s="183">
        <f t="shared" si="4"/>
        <v>230</v>
      </c>
      <c r="Q10" s="183">
        <v>130.0</v>
      </c>
      <c r="R10" s="183">
        <v>0.0</v>
      </c>
      <c r="S10" s="183">
        <f t="shared" si="5"/>
        <v>130</v>
      </c>
      <c r="T10" s="190">
        <f t="shared" si="6"/>
        <v>0.9871244635</v>
      </c>
      <c r="U10" s="183">
        <v>230.0</v>
      </c>
      <c r="V10" s="183">
        <v>0.0</v>
      </c>
      <c r="W10" s="183">
        <f t="shared" si="7"/>
        <v>230</v>
      </c>
      <c r="X10" s="274">
        <f t="shared" si="8"/>
        <v>0.8755364807</v>
      </c>
      <c r="Y10" s="183">
        <v>204.0</v>
      </c>
      <c r="Z10" s="183">
        <v>0.0</v>
      </c>
      <c r="AA10" s="183">
        <f t="shared" si="9"/>
        <v>204</v>
      </c>
      <c r="AB10" s="183">
        <v>112.0</v>
      </c>
      <c r="AC10" s="185">
        <v>69.0</v>
      </c>
      <c r="AD10" s="190">
        <f t="shared" si="10"/>
        <v>0.5407725322</v>
      </c>
      <c r="AE10" s="183">
        <v>126.0</v>
      </c>
      <c r="AF10" s="183">
        <v>0.0</v>
      </c>
      <c r="AG10" s="183">
        <f t="shared" si="11"/>
        <v>126</v>
      </c>
      <c r="AH10" s="183">
        <v>67.0</v>
      </c>
      <c r="AI10" s="185">
        <v>48.0</v>
      </c>
      <c r="AJ10" s="507">
        <f t="shared" si="12"/>
        <v>1</v>
      </c>
      <c r="AK10" s="183">
        <v>233.0</v>
      </c>
      <c r="AL10" s="183">
        <v>0.0</v>
      </c>
      <c r="AM10" s="183">
        <f t="shared" si="13"/>
        <v>233</v>
      </c>
      <c r="AN10" s="507">
        <f t="shared" si="14"/>
        <v>0.9871244635</v>
      </c>
      <c r="AO10" s="183">
        <v>230.0</v>
      </c>
      <c r="AP10" s="510">
        <v>0.0</v>
      </c>
      <c r="AQ10" s="183">
        <f t="shared" si="15"/>
        <v>230</v>
      </c>
      <c r="AR10" s="507">
        <f t="shared" si="16"/>
        <v>0.9957081545</v>
      </c>
      <c r="AS10" s="183">
        <f t="shared" si="17"/>
        <v>232</v>
      </c>
      <c r="AT10" s="183">
        <v>0.0</v>
      </c>
      <c r="AU10" s="183">
        <v>232.0</v>
      </c>
      <c r="AV10" s="209">
        <f t="shared" si="18"/>
        <v>1</v>
      </c>
      <c r="AW10" s="185">
        <v>233.0</v>
      </c>
      <c r="AX10" s="226">
        <v>0.0</v>
      </c>
      <c r="AY10" s="183">
        <f t="shared" si="19"/>
        <v>233</v>
      </c>
      <c r="AZ10" s="209">
        <f t="shared" si="20"/>
        <v>1</v>
      </c>
      <c r="BA10" s="185">
        <v>233.0</v>
      </c>
      <c r="BB10" s="226">
        <v>0.0</v>
      </c>
      <c r="BC10" s="185">
        <f t="shared" si="21"/>
        <v>233</v>
      </c>
      <c r="BD10" s="508">
        <f t="shared" si="22"/>
        <v>0.8626609442</v>
      </c>
      <c r="BE10" s="185">
        <v>201.0</v>
      </c>
      <c r="BF10" s="185">
        <v>0.0</v>
      </c>
      <c r="BG10" s="185">
        <f t="shared" si="23"/>
        <v>201</v>
      </c>
      <c r="BH10" s="508">
        <f t="shared" si="24"/>
        <v>0.5579399142</v>
      </c>
      <c r="BI10" s="185">
        <v>130.0</v>
      </c>
      <c r="BJ10" s="185">
        <v>0.0</v>
      </c>
      <c r="BK10" s="185">
        <f t="shared" si="25"/>
        <v>130</v>
      </c>
      <c r="BL10" s="185">
        <v>116.0</v>
      </c>
      <c r="BM10" s="185">
        <v>0.0</v>
      </c>
      <c r="BN10" s="185">
        <v>0.0</v>
      </c>
      <c r="BO10" s="352"/>
      <c r="BP10" s="352"/>
      <c r="BR10" s="352"/>
      <c r="BS10" s="352"/>
      <c r="BT10" s="509"/>
      <c r="BU10" s="509"/>
      <c r="BV10" s="509"/>
      <c r="BW10" s="509"/>
      <c r="BX10" s="509"/>
      <c r="BY10" s="509"/>
      <c r="BZ10" s="509"/>
      <c r="CA10" s="509"/>
      <c r="CB10" s="509"/>
      <c r="CC10" s="509"/>
      <c r="CD10" s="509"/>
      <c r="CE10" s="509"/>
      <c r="CF10" s="509"/>
      <c r="CG10" s="509"/>
      <c r="CH10" s="509"/>
      <c r="CI10" s="509"/>
      <c r="CJ10" s="509"/>
      <c r="CK10" s="509"/>
      <c r="CL10" s="509"/>
    </row>
    <row r="11" ht="14.25" customHeight="1">
      <c r="A11" s="181" t="s">
        <v>146</v>
      </c>
      <c r="B11" s="182">
        <v>843.0</v>
      </c>
      <c r="C11" s="182" t="s">
        <v>157</v>
      </c>
      <c r="D11" s="183">
        <v>56512.0</v>
      </c>
      <c r="E11" s="183">
        <v>50168.0</v>
      </c>
      <c r="F11" s="183">
        <v>6344.0</v>
      </c>
      <c r="G11" s="507">
        <f t="shared" si="1"/>
        <v>0.9585751699</v>
      </c>
      <c r="H11" s="183">
        <v>54171.0</v>
      </c>
      <c r="I11" s="183">
        <v>48243.0</v>
      </c>
      <c r="J11" s="183">
        <f t="shared" si="2"/>
        <v>5928</v>
      </c>
      <c r="K11" s="185">
        <v>47180.0</v>
      </c>
      <c r="L11" s="185">
        <v>6216.0</v>
      </c>
      <c r="M11" s="190">
        <f t="shared" si="3"/>
        <v>0.330407701</v>
      </c>
      <c r="N11" s="183">
        <v>18672.0</v>
      </c>
      <c r="O11" s="183">
        <v>15399.0</v>
      </c>
      <c r="P11" s="183">
        <f t="shared" si="4"/>
        <v>3273</v>
      </c>
      <c r="Q11" s="183">
        <v>1137.0</v>
      </c>
      <c r="R11" s="183">
        <v>796.0</v>
      </c>
      <c r="S11" s="183">
        <f t="shared" si="5"/>
        <v>341</v>
      </c>
      <c r="T11" s="190">
        <f t="shared" si="6"/>
        <v>0.366913222</v>
      </c>
      <c r="U11" s="183">
        <v>20735.0</v>
      </c>
      <c r="V11" s="183">
        <v>17512.0</v>
      </c>
      <c r="W11" s="183">
        <f t="shared" si="7"/>
        <v>3223</v>
      </c>
      <c r="X11" s="274">
        <f t="shared" si="8"/>
        <v>0.8348138448</v>
      </c>
      <c r="Y11" s="183">
        <v>47177.0</v>
      </c>
      <c r="Z11" s="183">
        <v>42688.0</v>
      </c>
      <c r="AA11" s="183">
        <f t="shared" si="9"/>
        <v>4489</v>
      </c>
      <c r="AB11" s="183">
        <v>43002.0</v>
      </c>
      <c r="AC11" s="185">
        <v>3682.0</v>
      </c>
      <c r="AD11" s="190">
        <f t="shared" si="10"/>
        <v>0.6089149207</v>
      </c>
      <c r="AE11" s="183">
        <v>34411.0</v>
      </c>
      <c r="AF11" s="183">
        <v>31496.0</v>
      </c>
      <c r="AG11" s="183">
        <f t="shared" si="11"/>
        <v>2915</v>
      </c>
      <c r="AH11" s="183">
        <v>32057.0</v>
      </c>
      <c r="AI11" s="185">
        <v>2049.0</v>
      </c>
      <c r="AJ11" s="507">
        <f t="shared" si="12"/>
        <v>0.983136325</v>
      </c>
      <c r="AK11" s="183">
        <v>55559.0</v>
      </c>
      <c r="AL11" s="183">
        <v>49311.0</v>
      </c>
      <c r="AM11" s="183">
        <f t="shared" si="13"/>
        <v>6248</v>
      </c>
      <c r="AN11" s="507">
        <f t="shared" si="14"/>
        <v>0.9196276897</v>
      </c>
      <c r="AO11" s="183">
        <v>51970.0</v>
      </c>
      <c r="AP11" s="183">
        <v>46203.0</v>
      </c>
      <c r="AQ11" s="183">
        <f t="shared" si="15"/>
        <v>5767</v>
      </c>
      <c r="AR11" s="507">
        <f t="shared" si="16"/>
        <v>0.9612825595</v>
      </c>
      <c r="AS11" s="183">
        <f t="shared" si="17"/>
        <v>54324</v>
      </c>
      <c r="AT11" s="183">
        <v>48262.0</v>
      </c>
      <c r="AU11" s="183">
        <v>6062.0</v>
      </c>
      <c r="AV11" s="209">
        <f t="shared" si="18"/>
        <v>0.9558677803</v>
      </c>
      <c r="AW11" s="185">
        <v>54018.0</v>
      </c>
      <c r="AX11" s="185">
        <v>47746.0</v>
      </c>
      <c r="AY11" s="183">
        <f t="shared" si="19"/>
        <v>6272</v>
      </c>
      <c r="AZ11" s="209">
        <f t="shared" si="20"/>
        <v>0.9140005663</v>
      </c>
      <c r="BA11" s="185">
        <v>51652.0</v>
      </c>
      <c r="BB11" s="185">
        <v>45387.0</v>
      </c>
      <c r="BC11" s="185">
        <f t="shared" si="21"/>
        <v>6265</v>
      </c>
      <c r="BD11" s="209">
        <f t="shared" si="22"/>
        <v>0.5972005946</v>
      </c>
      <c r="BE11" s="185">
        <v>33749.0</v>
      </c>
      <c r="BF11" s="185">
        <v>28943.0</v>
      </c>
      <c r="BG11" s="185">
        <f t="shared" si="23"/>
        <v>4806</v>
      </c>
      <c r="BH11" s="508">
        <f t="shared" si="24"/>
        <v>0.8207637316</v>
      </c>
      <c r="BI11" s="185">
        <v>46383.0</v>
      </c>
      <c r="BJ11" s="226">
        <v>43351.0</v>
      </c>
      <c r="BK11" s="185">
        <f t="shared" si="25"/>
        <v>3032</v>
      </c>
      <c r="BL11" s="185">
        <v>45879.0</v>
      </c>
      <c r="BM11" s="185">
        <v>0.0</v>
      </c>
      <c r="BN11" s="185">
        <v>5150.0</v>
      </c>
      <c r="BO11" s="352"/>
      <c r="BP11" s="352"/>
      <c r="BR11" s="352"/>
      <c r="BS11" s="352"/>
      <c r="BT11" s="509"/>
      <c r="BU11" s="509"/>
      <c r="BV11" s="509"/>
      <c r="BW11" s="509"/>
      <c r="BX11" s="509"/>
      <c r="BY11" s="509"/>
      <c r="BZ11" s="509"/>
      <c r="CA11" s="509"/>
      <c r="CB11" s="509"/>
      <c r="CC11" s="509"/>
      <c r="CD11" s="509"/>
      <c r="CE11" s="509"/>
      <c r="CF11" s="509"/>
      <c r="CG11" s="509"/>
      <c r="CH11" s="509"/>
      <c r="CI11" s="509"/>
      <c r="CJ11" s="509"/>
      <c r="CK11" s="509"/>
      <c r="CL11" s="509"/>
    </row>
    <row r="12" ht="14.25" customHeight="1">
      <c r="A12" s="181" t="s">
        <v>146</v>
      </c>
      <c r="B12" s="182">
        <v>857.0</v>
      </c>
      <c r="C12" s="182" t="s">
        <v>158</v>
      </c>
      <c r="D12" s="183">
        <v>460.0</v>
      </c>
      <c r="E12" s="183">
        <v>393.0</v>
      </c>
      <c r="F12" s="183">
        <v>67.0</v>
      </c>
      <c r="G12" s="507">
        <f t="shared" si="1"/>
        <v>0.9804347826</v>
      </c>
      <c r="H12" s="183">
        <v>451.0</v>
      </c>
      <c r="I12" s="183">
        <v>385.0</v>
      </c>
      <c r="J12" s="183">
        <f t="shared" si="2"/>
        <v>66</v>
      </c>
      <c r="K12" s="185">
        <v>380.0</v>
      </c>
      <c r="L12" s="185">
        <v>57.0</v>
      </c>
      <c r="M12" s="190">
        <f t="shared" si="3"/>
        <v>0.8869565217</v>
      </c>
      <c r="N12" s="183">
        <v>408.0</v>
      </c>
      <c r="O12" s="183">
        <v>342.0</v>
      </c>
      <c r="P12" s="183">
        <f t="shared" si="4"/>
        <v>66</v>
      </c>
      <c r="Q12" s="183">
        <v>97.0</v>
      </c>
      <c r="R12" s="183">
        <v>73.0</v>
      </c>
      <c r="S12" s="183">
        <f t="shared" si="5"/>
        <v>24</v>
      </c>
      <c r="T12" s="190">
        <f t="shared" si="6"/>
        <v>0.5739130435</v>
      </c>
      <c r="U12" s="183">
        <v>264.0</v>
      </c>
      <c r="V12" s="183">
        <v>203.0</v>
      </c>
      <c r="W12" s="183">
        <f t="shared" si="7"/>
        <v>61</v>
      </c>
      <c r="X12" s="274">
        <f t="shared" si="8"/>
        <v>0.9282608696</v>
      </c>
      <c r="Y12" s="183">
        <v>427.0</v>
      </c>
      <c r="Z12" s="183">
        <v>369.0</v>
      </c>
      <c r="AA12" s="183">
        <f t="shared" si="9"/>
        <v>58</v>
      </c>
      <c r="AB12" s="183">
        <v>381.0</v>
      </c>
      <c r="AC12" s="185">
        <v>32.0</v>
      </c>
      <c r="AD12" s="190">
        <f t="shared" si="10"/>
        <v>0.8760869565</v>
      </c>
      <c r="AE12" s="183">
        <v>403.0</v>
      </c>
      <c r="AF12" s="183">
        <v>353.0</v>
      </c>
      <c r="AG12" s="183">
        <f t="shared" si="11"/>
        <v>50</v>
      </c>
      <c r="AH12" s="183">
        <v>371.0</v>
      </c>
      <c r="AI12" s="185">
        <v>23.0</v>
      </c>
      <c r="AJ12" s="507">
        <f t="shared" si="12"/>
        <v>1</v>
      </c>
      <c r="AK12" s="183">
        <v>460.0</v>
      </c>
      <c r="AL12" s="183">
        <v>393.0</v>
      </c>
      <c r="AM12" s="183">
        <f t="shared" si="13"/>
        <v>67</v>
      </c>
      <c r="AN12" s="507">
        <f t="shared" si="14"/>
        <v>0.9913043478</v>
      </c>
      <c r="AO12" s="183">
        <v>456.0</v>
      </c>
      <c r="AP12" s="183">
        <v>391.0</v>
      </c>
      <c r="AQ12" s="183">
        <f t="shared" si="15"/>
        <v>65</v>
      </c>
      <c r="AR12" s="507">
        <f t="shared" si="16"/>
        <v>0.9891304348</v>
      </c>
      <c r="AS12" s="183">
        <f t="shared" si="17"/>
        <v>455</v>
      </c>
      <c r="AT12" s="183">
        <v>389.0</v>
      </c>
      <c r="AU12" s="183">
        <v>66.0</v>
      </c>
      <c r="AV12" s="209">
        <f t="shared" si="18"/>
        <v>0.9717391304</v>
      </c>
      <c r="AW12" s="185">
        <v>447.0</v>
      </c>
      <c r="AX12" s="185">
        <v>381.0</v>
      </c>
      <c r="AY12" s="183">
        <f t="shared" si="19"/>
        <v>66</v>
      </c>
      <c r="AZ12" s="209">
        <f t="shared" si="20"/>
        <v>1</v>
      </c>
      <c r="BA12" s="185">
        <v>460.0</v>
      </c>
      <c r="BB12" s="185">
        <v>393.0</v>
      </c>
      <c r="BC12" s="185">
        <f t="shared" si="21"/>
        <v>67</v>
      </c>
      <c r="BD12" s="508">
        <f t="shared" si="22"/>
        <v>0.6326086957</v>
      </c>
      <c r="BE12" s="185">
        <v>291.0</v>
      </c>
      <c r="BF12" s="185">
        <v>235.0</v>
      </c>
      <c r="BG12" s="185">
        <f t="shared" si="23"/>
        <v>56</v>
      </c>
      <c r="BH12" s="508">
        <f t="shared" si="24"/>
        <v>0.7869565217</v>
      </c>
      <c r="BI12" s="185">
        <v>362.0</v>
      </c>
      <c r="BJ12" s="226">
        <v>320.0</v>
      </c>
      <c r="BK12" s="185">
        <f t="shared" si="25"/>
        <v>42</v>
      </c>
      <c r="BL12" s="185">
        <v>353.0</v>
      </c>
      <c r="BM12" s="185">
        <v>0.0</v>
      </c>
      <c r="BN12" s="185">
        <v>0.0</v>
      </c>
      <c r="BO12" s="352"/>
      <c r="BP12" s="352"/>
      <c r="BR12" s="352"/>
      <c r="BS12" s="352"/>
      <c r="BT12" s="509"/>
      <c r="BU12" s="509"/>
      <c r="BV12" s="509"/>
      <c r="BW12" s="509"/>
      <c r="BX12" s="509"/>
      <c r="BY12" s="509"/>
      <c r="BZ12" s="509"/>
      <c r="CA12" s="509"/>
      <c r="CB12" s="509"/>
      <c r="CC12" s="509"/>
      <c r="CD12" s="509"/>
      <c r="CE12" s="509"/>
      <c r="CF12" s="509"/>
      <c r="CG12" s="509"/>
      <c r="CH12" s="509"/>
      <c r="CI12" s="509"/>
      <c r="CJ12" s="509"/>
      <c r="CK12" s="509"/>
      <c r="CL12" s="509"/>
    </row>
    <row r="13" ht="14.25" customHeight="1">
      <c r="A13" s="181" t="s">
        <v>159</v>
      </c>
      <c r="B13" s="182">
        <v>899.0</v>
      </c>
      <c r="C13" s="182" t="s">
        <v>160</v>
      </c>
      <c r="D13" s="183">
        <v>5619.0</v>
      </c>
      <c r="E13" s="183">
        <v>226.0</v>
      </c>
      <c r="F13" s="183">
        <v>5393.0</v>
      </c>
      <c r="G13" s="507">
        <f t="shared" si="1"/>
        <v>1</v>
      </c>
      <c r="H13" s="183">
        <v>5619.0</v>
      </c>
      <c r="I13" s="183">
        <v>226.0</v>
      </c>
      <c r="J13" s="183">
        <f t="shared" si="2"/>
        <v>5393</v>
      </c>
      <c r="K13" s="185">
        <v>2708.0</v>
      </c>
      <c r="L13" s="185">
        <v>2610.0</v>
      </c>
      <c r="M13" s="190">
        <f t="shared" si="3"/>
        <v>1</v>
      </c>
      <c r="N13" s="183">
        <v>5619.0</v>
      </c>
      <c r="O13" s="183">
        <v>226.0</v>
      </c>
      <c r="P13" s="183">
        <f t="shared" si="4"/>
        <v>5393</v>
      </c>
      <c r="Q13" s="183">
        <v>1227.0</v>
      </c>
      <c r="R13" s="183">
        <v>45.0</v>
      </c>
      <c r="S13" s="183">
        <f t="shared" si="5"/>
        <v>1182</v>
      </c>
      <c r="T13" s="190">
        <f t="shared" si="6"/>
        <v>1</v>
      </c>
      <c r="U13" s="183">
        <v>5619.0</v>
      </c>
      <c r="V13" s="183">
        <v>226.0</v>
      </c>
      <c r="W13" s="183">
        <f t="shared" si="7"/>
        <v>5393</v>
      </c>
      <c r="X13" s="274">
        <f t="shared" si="8"/>
        <v>1</v>
      </c>
      <c r="Y13" s="183">
        <v>5619.0</v>
      </c>
      <c r="Z13" s="183">
        <v>226.0</v>
      </c>
      <c r="AA13" s="183">
        <f t="shared" si="9"/>
        <v>5393</v>
      </c>
      <c r="AB13" s="183">
        <v>2708.0</v>
      </c>
      <c r="AC13" s="185">
        <v>2610.0</v>
      </c>
      <c r="AD13" s="190">
        <f t="shared" si="10"/>
        <v>1</v>
      </c>
      <c r="AE13" s="183">
        <v>5619.0</v>
      </c>
      <c r="AF13" s="183">
        <v>226.0</v>
      </c>
      <c r="AG13" s="183">
        <f t="shared" si="11"/>
        <v>5393</v>
      </c>
      <c r="AH13" s="183">
        <v>2708.0</v>
      </c>
      <c r="AI13" s="185">
        <v>2610.0</v>
      </c>
      <c r="AJ13" s="507">
        <f t="shared" si="12"/>
        <v>1</v>
      </c>
      <c r="AK13" s="183">
        <v>5619.0</v>
      </c>
      <c r="AL13" s="183">
        <v>226.0</v>
      </c>
      <c r="AM13" s="183">
        <f t="shared" si="13"/>
        <v>5393</v>
      </c>
      <c r="AN13" s="507">
        <f t="shared" si="14"/>
        <v>0.8864566649</v>
      </c>
      <c r="AO13" s="183">
        <v>4981.0</v>
      </c>
      <c r="AP13" s="183">
        <v>211.0</v>
      </c>
      <c r="AQ13" s="183">
        <f t="shared" si="15"/>
        <v>4770</v>
      </c>
      <c r="AR13" s="507">
        <f t="shared" si="16"/>
        <v>0.8352019932</v>
      </c>
      <c r="AS13" s="183">
        <f t="shared" si="17"/>
        <v>4693</v>
      </c>
      <c r="AT13" s="183">
        <v>201.0</v>
      </c>
      <c r="AU13" s="183">
        <v>4492.0</v>
      </c>
      <c r="AV13" s="209">
        <f t="shared" si="18"/>
        <v>1</v>
      </c>
      <c r="AW13" s="185">
        <v>5619.0</v>
      </c>
      <c r="AX13" s="185">
        <v>226.0</v>
      </c>
      <c r="AY13" s="183">
        <f t="shared" si="19"/>
        <v>5393</v>
      </c>
      <c r="AZ13" s="209">
        <f t="shared" si="20"/>
        <v>1</v>
      </c>
      <c r="BA13" s="185">
        <v>5619.0</v>
      </c>
      <c r="BB13" s="185">
        <v>226.0</v>
      </c>
      <c r="BC13" s="185">
        <f t="shared" si="21"/>
        <v>5393</v>
      </c>
      <c r="BD13" s="508">
        <f t="shared" si="22"/>
        <v>0.8754226731</v>
      </c>
      <c r="BE13" s="185">
        <v>4919.0</v>
      </c>
      <c r="BF13" s="185">
        <v>199.0</v>
      </c>
      <c r="BG13" s="185">
        <f t="shared" si="23"/>
        <v>4720</v>
      </c>
      <c r="BH13" s="508">
        <f t="shared" si="24"/>
        <v>0.5355045382</v>
      </c>
      <c r="BI13" s="185">
        <v>3009.0</v>
      </c>
      <c r="BJ13" s="226">
        <v>143.0</v>
      </c>
      <c r="BK13" s="185">
        <f t="shared" si="25"/>
        <v>2866</v>
      </c>
      <c r="BL13" s="185">
        <v>2708.0</v>
      </c>
      <c r="BM13" s="185">
        <v>0.0</v>
      </c>
      <c r="BN13" s="185">
        <v>16.0</v>
      </c>
      <c r="BO13" s="352"/>
      <c r="BP13" s="352"/>
      <c r="BR13" s="352"/>
      <c r="BS13" s="352"/>
      <c r="BT13" s="509"/>
      <c r="BU13" s="509"/>
      <c r="BV13" s="509"/>
      <c r="BW13" s="509"/>
      <c r="BX13" s="509"/>
      <c r="BY13" s="509"/>
      <c r="BZ13" s="509"/>
      <c r="CA13" s="509"/>
      <c r="CB13" s="509"/>
      <c r="CC13" s="509"/>
      <c r="CD13" s="509"/>
      <c r="CE13" s="509"/>
      <c r="CF13" s="509"/>
      <c r="CG13" s="509"/>
      <c r="CH13" s="509"/>
      <c r="CI13" s="509"/>
      <c r="CJ13" s="509"/>
      <c r="CK13" s="509"/>
      <c r="CL13" s="509"/>
    </row>
    <row r="14" ht="14.25" customHeight="1">
      <c r="A14" s="181" t="s">
        <v>146</v>
      </c>
      <c r="B14" s="182">
        <v>795.0</v>
      </c>
      <c r="C14" s="182" t="s">
        <v>161</v>
      </c>
      <c r="D14" s="183">
        <v>1510.0</v>
      </c>
      <c r="E14" s="183">
        <v>1185.0</v>
      </c>
      <c r="F14" s="183">
        <v>325.0</v>
      </c>
      <c r="G14" s="507">
        <f t="shared" si="1"/>
        <v>0.9735099338</v>
      </c>
      <c r="H14" s="183">
        <v>1470.0</v>
      </c>
      <c r="I14" s="183">
        <v>1161.0</v>
      </c>
      <c r="J14" s="183">
        <f t="shared" si="2"/>
        <v>309</v>
      </c>
      <c r="K14" s="185">
        <v>807.0</v>
      </c>
      <c r="L14" s="185">
        <v>128.0</v>
      </c>
      <c r="M14" s="190">
        <f t="shared" si="3"/>
        <v>0.5026490066</v>
      </c>
      <c r="N14" s="183">
        <v>759.0</v>
      </c>
      <c r="O14" s="183">
        <v>536.0</v>
      </c>
      <c r="P14" s="183">
        <f t="shared" si="4"/>
        <v>223</v>
      </c>
      <c r="Q14" s="183">
        <v>303.0</v>
      </c>
      <c r="R14" s="183">
        <v>224.0</v>
      </c>
      <c r="S14" s="183">
        <f t="shared" si="5"/>
        <v>79</v>
      </c>
      <c r="T14" s="190">
        <f t="shared" si="6"/>
        <v>0.5821192053</v>
      </c>
      <c r="U14" s="183">
        <v>879.0</v>
      </c>
      <c r="V14" s="183">
        <v>648.0</v>
      </c>
      <c r="W14" s="183">
        <f t="shared" si="7"/>
        <v>231</v>
      </c>
      <c r="X14" s="274">
        <f t="shared" si="8"/>
        <v>0.6072847682</v>
      </c>
      <c r="Y14" s="183">
        <v>917.0</v>
      </c>
      <c r="Z14" s="183">
        <v>771.0</v>
      </c>
      <c r="AA14" s="183">
        <f t="shared" si="9"/>
        <v>146</v>
      </c>
      <c r="AB14" s="183">
        <v>715.0</v>
      </c>
      <c r="AC14" s="185">
        <v>35.0</v>
      </c>
      <c r="AD14" s="190">
        <f t="shared" si="10"/>
        <v>0.5503311258</v>
      </c>
      <c r="AE14" s="183">
        <v>831.0</v>
      </c>
      <c r="AF14" s="183">
        <v>704.0</v>
      </c>
      <c r="AG14" s="183">
        <f t="shared" si="11"/>
        <v>127</v>
      </c>
      <c r="AH14" s="183">
        <v>695.0</v>
      </c>
      <c r="AI14" s="185">
        <v>23.0</v>
      </c>
      <c r="AJ14" s="507">
        <f t="shared" si="12"/>
        <v>1</v>
      </c>
      <c r="AK14" s="183">
        <v>1510.0</v>
      </c>
      <c r="AL14" s="183">
        <v>1185.0</v>
      </c>
      <c r="AM14" s="183">
        <f t="shared" si="13"/>
        <v>325</v>
      </c>
      <c r="AN14" s="507">
        <f t="shared" si="14"/>
        <v>0.9907284768</v>
      </c>
      <c r="AO14" s="183">
        <v>1496.0</v>
      </c>
      <c r="AP14" s="183">
        <v>1179.0</v>
      </c>
      <c r="AQ14" s="183">
        <f t="shared" si="15"/>
        <v>317</v>
      </c>
      <c r="AR14" s="507">
        <f t="shared" si="16"/>
        <v>0.9920529801</v>
      </c>
      <c r="AS14" s="183">
        <f t="shared" si="17"/>
        <v>1498</v>
      </c>
      <c r="AT14" s="183">
        <v>1180.0</v>
      </c>
      <c r="AU14" s="183">
        <v>318.0</v>
      </c>
      <c r="AV14" s="209">
        <f t="shared" si="18"/>
        <v>0.9973509934</v>
      </c>
      <c r="AW14" s="185">
        <v>1506.0</v>
      </c>
      <c r="AX14" s="185">
        <v>1181.0</v>
      </c>
      <c r="AY14" s="183">
        <f t="shared" si="19"/>
        <v>325</v>
      </c>
      <c r="AZ14" s="209">
        <f t="shared" si="20"/>
        <v>1</v>
      </c>
      <c r="BA14" s="185">
        <v>1510.0</v>
      </c>
      <c r="BB14" s="185">
        <v>1185.0</v>
      </c>
      <c r="BC14" s="185">
        <f t="shared" si="21"/>
        <v>325</v>
      </c>
      <c r="BD14" s="508">
        <f t="shared" si="22"/>
        <v>0.8509933775</v>
      </c>
      <c r="BE14" s="185">
        <v>1285.0</v>
      </c>
      <c r="BF14" s="185">
        <v>993.0</v>
      </c>
      <c r="BG14" s="185">
        <f t="shared" si="23"/>
        <v>292</v>
      </c>
      <c r="BH14" s="508">
        <f t="shared" si="24"/>
        <v>0.7966887417</v>
      </c>
      <c r="BI14" s="185">
        <v>1203.0</v>
      </c>
      <c r="BJ14" s="226">
        <v>992.0</v>
      </c>
      <c r="BK14" s="185">
        <f t="shared" si="25"/>
        <v>211</v>
      </c>
      <c r="BL14" s="185">
        <v>785.0</v>
      </c>
      <c r="BM14" s="185">
        <v>0.0</v>
      </c>
      <c r="BN14" s="185">
        <v>231.0</v>
      </c>
      <c r="BO14" s="352"/>
      <c r="BP14" s="352"/>
      <c r="BR14" s="352"/>
      <c r="BS14" s="352"/>
      <c r="BT14" s="509"/>
      <c r="BU14" s="509"/>
      <c r="BV14" s="509"/>
      <c r="BW14" s="509"/>
      <c r="BX14" s="509"/>
      <c r="BY14" s="509"/>
      <c r="BZ14" s="509"/>
      <c r="CA14" s="509"/>
      <c r="CB14" s="509"/>
      <c r="CC14" s="509"/>
      <c r="CD14" s="509"/>
      <c r="CE14" s="509"/>
      <c r="CF14" s="509"/>
      <c r="CG14" s="509"/>
      <c r="CH14" s="509"/>
      <c r="CI14" s="509"/>
      <c r="CJ14" s="509"/>
      <c r="CK14" s="509"/>
      <c r="CL14" s="509"/>
    </row>
    <row r="15" ht="14.25" customHeight="1">
      <c r="A15" s="181" t="s">
        <v>155</v>
      </c>
      <c r="B15" s="182">
        <v>903.0</v>
      </c>
      <c r="C15" s="182" t="s">
        <v>162</v>
      </c>
      <c r="D15" s="183">
        <v>53851.0</v>
      </c>
      <c r="E15" s="183">
        <v>41439.0</v>
      </c>
      <c r="F15" s="183">
        <v>12412.0</v>
      </c>
      <c r="G15" s="507">
        <f t="shared" si="1"/>
        <v>0.9306233868</v>
      </c>
      <c r="H15" s="183">
        <v>50115.0</v>
      </c>
      <c r="I15" s="183">
        <v>39443.0</v>
      </c>
      <c r="J15" s="183">
        <f t="shared" si="2"/>
        <v>10672</v>
      </c>
      <c r="K15" s="185">
        <v>32512.0</v>
      </c>
      <c r="L15" s="185">
        <v>11087.0</v>
      </c>
      <c r="M15" s="190">
        <f t="shared" si="3"/>
        <v>0.8729828601</v>
      </c>
      <c r="N15" s="183">
        <v>47011.0</v>
      </c>
      <c r="O15" s="183">
        <v>36891.0</v>
      </c>
      <c r="P15" s="183">
        <f t="shared" si="4"/>
        <v>10120</v>
      </c>
      <c r="Q15" s="183">
        <v>3675.0</v>
      </c>
      <c r="R15" s="183">
        <v>2506.0</v>
      </c>
      <c r="S15" s="183">
        <f t="shared" si="5"/>
        <v>1169</v>
      </c>
      <c r="T15" s="190">
        <f t="shared" si="6"/>
        <v>0.9196115207</v>
      </c>
      <c r="U15" s="183">
        <v>49522.0</v>
      </c>
      <c r="V15" s="183">
        <v>38121.0</v>
      </c>
      <c r="W15" s="183">
        <f t="shared" si="7"/>
        <v>11401</v>
      </c>
      <c r="X15" s="274">
        <f t="shared" si="8"/>
        <v>0.8194091103</v>
      </c>
      <c r="Y15" s="183">
        <v>44126.0</v>
      </c>
      <c r="Z15" s="183">
        <v>35902.0</v>
      </c>
      <c r="AA15" s="183">
        <f t="shared" si="9"/>
        <v>8224</v>
      </c>
      <c r="AB15" s="183">
        <v>32758.0</v>
      </c>
      <c r="AC15" s="185">
        <v>6906.0</v>
      </c>
      <c r="AD15" s="190">
        <f t="shared" si="10"/>
        <v>0.5930251992</v>
      </c>
      <c r="AE15" s="183">
        <v>31935.0</v>
      </c>
      <c r="AF15" s="183">
        <v>26747.0</v>
      </c>
      <c r="AG15" s="183">
        <f t="shared" si="11"/>
        <v>5188</v>
      </c>
      <c r="AH15" s="183">
        <v>25289.0</v>
      </c>
      <c r="AI15" s="185">
        <v>4004.0</v>
      </c>
      <c r="AJ15" s="507">
        <f t="shared" si="12"/>
        <v>0.999312919</v>
      </c>
      <c r="AK15" s="183">
        <v>53814.0</v>
      </c>
      <c r="AL15" s="183">
        <v>41412.0</v>
      </c>
      <c r="AM15" s="183">
        <f t="shared" si="13"/>
        <v>12402</v>
      </c>
      <c r="AN15" s="507">
        <f t="shared" si="14"/>
        <v>0.9409110323</v>
      </c>
      <c r="AO15" s="183">
        <v>50669.0</v>
      </c>
      <c r="AP15" s="183">
        <v>39122.0</v>
      </c>
      <c r="AQ15" s="183">
        <f t="shared" si="15"/>
        <v>11547</v>
      </c>
      <c r="AR15" s="507">
        <f t="shared" si="16"/>
        <v>0.9573638373</v>
      </c>
      <c r="AS15" s="183">
        <f t="shared" si="17"/>
        <v>51555</v>
      </c>
      <c r="AT15" s="183">
        <v>39693.0</v>
      </c>
      <c r="AU15" s="183">
        <v>11862.0</v>
      </c>
      <c r="AV15" s="209">
        <f t="shared" si="18"/>
        <v>0.9754693506</v>
      </c>
      <c r="AW15" s="185">
        <v>52530.0</v>
      </c>
      <c r="AX15" s="185">
        <v>40404.0</v>
      </c>
      <c r="AY15" s="183">
        <f t="shared" si="19"/>
        <v>12126</v>
      </c>
      <c r="AZ15" s="209">
        <f t="shared" si="20"/>
        <v>0.9995728956</v>
      </c>
      <c r="BA15" s="185">
        <v>53828.0</v>
      </c>
      <c r="BB15" s="185">
        <v>41418.0</v>
      </c>
      <c r="BC15" s="185">
        <f t="shared" si="21"/>
        <v>12410</v>
      </c>
      <c r="BD15" s="508">
        <f t="shared" si="22"/>
        <v>0.7449443836</v>
      </c>
      <c r="BE15" s="185">
        <v>40116.0</v>
      </c>
      <c r="BF15" s="185">
        <v>28587.0</v>
      </c>
      <c r="BG15" s="185">
        <f t="shared" si="23"/>
        <v>11529</v>
      </c>
      <c r="BH15" s="508">
        <f t="shared" si="24"/>
        <v>0.6978514791</v>
      </c>
      <c r="BI15" s="185">
        <v>37580.0</v>
      </c>
      <c r="BJ15" s="226">
        <v>33460.0</v>
      </c>
      <c r="BK15" s="185">
        <f t="shared" si="25"/>
        <v>4120</v>
      </c>
      <c r="BL15" s="185">
        <v>31746.0</v>
      </c>
      <c r="BM15" s="185">
        <v>0.0</v>
      </c>
      <c r="BN15" s="185">
        <v>1169.0</v>
      </c>
      <c r="BO15" s="352"/>
      <c r="BP15" s="352"/>
      <c r="BR15" s="352"/>
      <c r="BS15" s="352"/>
      <c r="BT15" s="509"/>
      <c r="BU15" s="509"/>
      <c r="BV15" s="509"/>
      <c r="BW15" s="509"/>
      <c r="BX15" s="509"/>
      <c r="BY15" s="509"/>
      <c r="BZ15" s="509"/>
      <c r="CA15" s="509"/>
      <c r="CB15" s="509"/>
      <c r="CC15" s="509"/>
      <c r="CD15" s="509"/>
      <c r="CE15" s="509"/>
      <c r="CF15" s="509"/>
      <c r="CG15" s="509"/>
      <c r="CH15" s="509"/>
      <c r="CI15" s="509"/>
      <c r="CJ15" s="509"/>
      <c r="CK15" s="509"/>
      <c r="CL15" s="509"/>
    </row>
    <row r="16" ht="14.25" customHeight="1">
      <c r="A16" s="181" t="s">
        <v>155</v>
      </c>
      <c r="B16" s="182">
        <v>865.0</v>
      </c>
      <c r="C16" s="182" t="s">
        <v>163</v>
      </c>
      <c r="D16" s="183">
        <v>23726.0</v>
      </c>
      <c r="E16" s="183">
        <v>18008.0</v>
      </c>
      <c r="F16" s="183">
        <v>5718.0</v>
      </c>
      <c r="G16" s="507">
        <f t="shared" si="1"/>
        <v>0.942004552</v>
      </c>
      <c r="H16" s="183">
        <v>22350.0</v>
      </c>
      <c r="I16" s="183">
        <v>17109.0</v>
      </c>
      <c r="J16" s="183">
        <f t="shared" si="2"/>
        <v>5241</v>
      </c>
      <c r="K16" s="185">
        <v>14039.0</v>
      </c>
      <c r="L16" s="185">
        <v>7587.0</v>
      </c>
      <c r="M16" s="190">
        <f t="shared" si="3"/>
        <v>0.8537047964</v>
      </c>
      <c r="N16" s="183">
        <v>20255.0</v>
      </c>
      <c r="O16" s="183">
        <v>15429.0</v>
      </c>
      <c r="P16" s="183">
        <f t="shared" si="4"/>
        <v>4826</v>
      </c>
      <c r="Q16" s="183">
        <v>3236.0</v>
      </c>
      <c r="R16" s="183">
        <v>2501.0</v>
      </c>
      <c r="S16" s="183">
        <f t="shared" si="5"/>
        <v>735</v>
      </c>
      <c r="T16" s="190">
        <f t="shared" si="6"/>
        <v>0.5124336171</v>
      </c>
      <c r="U16" s="183">
        <v>12158.0</v>
      </c>
      <c r="V16" s="183">
        <v>8050.0</v>
      </c>
      <c r="W16" s="183">
        <f t="shared" si="7"/>
        <v>4108</v>
      </c>
      <c r="X16" s="274">
        <f t="shared" si="8"/>
        <v>0.7264604232</v>
      </c>
      <c r="Y16" s="183">
        <v>17236.0</v>
      </c>
      <c r="Z16" s="183">
        <v>13871.0</v>
      </c>
      <c r="AA16" s="183">
        <f t="shared" si="9"/>
        <v>3365</v>
      </c>
      <c r="AB16" s="183">
        <v>12303.0</v>
      </c>
      <c r="AC16" s="185">
        <v>4555.0</v>
      </c>
      <c r="AD16" s="190">
        <f t="shared" si="10"/>
        <v>0.4586108067</v>
      </c>
      <c r="AE16" s="183">
        <v>10881.0</v>
      </c>
      <c r="AF16" s="183">
        <v>8777.0</v>
      </c>
      <c r="AG16" s="183">
        <f t="shared" si="11"/>
        <v>2104</v>
      </c>
      <c r="AH16" s="183">
        <v>7507.0</v>
      </c>
      <c r="AI16" s="185">
        <v>3151.0</v>
      </c>
      <c r="AJ16" s="507">
        <f t="shared" si="12"/>
        <v>0.9949001096</v>
      </c>
      <c r="AK16" s="183">
        <v>23605.0</v>
      </c>
      <c r="AL16" s="183">
        <v>17905.0</v>
      </c>
      <c r="AM16" s="183">
        <f t="shared" si="13"/>
        <v>5700</v>
      </c>
      <c r="AN16" s="507">
        <f t="shared" si="14"/>
        <v>0.9280114642</v>
      </c>
      <c r="AO16" s="183">
        <v>22018.0</v>
      </c>
      <c r="AP16" s="183">
        <v>16556.0</v>
      </c>
      <c r="AQ16" s="183">
        <f t="shared" si="15"/>
        <v>5462</v>
      </c>
      <c r="AR16" s="507">
        <f t="shared" si="16"/>
        <v>0.953300177</v>
      </c>
      <c r="AS16" s="183">
        <f t="shared" si="17"/>
        <v>22618</v>
      </c>
      <c r="AT16" s="183">
        <v>17075.0</v>
      </c>
      <c r="AU16" s="183">
        <v>5543.0</v>
      </c>
      <c r="AV16" s="209">
        <f t="shared" si="18"/>
        <v>0.9922447947</v>
      </c>
      <c r="AW16" s="185">
        <v>23542.0</v>
      </c>
      <c r="AX16" s="185">
        <v>17851.0</v>
      </c>
      <c r="AY16" s="183">
        <f t="shared" si="19"/>
        <v>5691</v>
      </c>
      <c r="AZ16" s="209">
        <f t="shared" si="20"/>
        <v>0.9782095591</v>
      </c>
      <c r="BA16" s="185">
        <v>23209.0</v>
      </c>
      <c r="BB16" s="185">
        <v>17513.0</v>
      </c>
      <c r="BC16" s="185">
        <f t="shared" si="21"/>
        <v>5696</v>
      </c>
      <c r="BD16" s="508">
        <f t="shared" si="22"/>
        <v>0.729115738</v>
      </c>
      <c r="BE16" s="185">
        <v>17299.0</v>
      </c>
      <c r="BF16" s="185">
        <v>12187.0</v>
      </c>
      <c r="BG16" s="185">
        <f t="shared" si="23"/>
        <v>5112</v>
      </c>
      <c r="BH16" s="508">
        <f t="shared" si="24"/>
        <v>0.5468684144</v>
      </c>
      <c r="BI16" s="185">
        <v>12975.0</v>
      </c>
      <c r="BJ16" s="226">
        <v>11613.0</v>
      </c>
      <c r="BK16" s="185">
        <f t="shared" si="25"/>
        <v>1362</v>
      </c>
      <c r="BL16" s="185">
        <v>12946.0</v>
      </c>
      <c r="BM16" s="185">
        <v>0.0</v>
      </c>
      <c r="BN16" s="185">
        <v>695.0</v>
      </c>
      <c r="BO16" s="352"/>
      <c r="BP16" s="352"/>
      <c r="BR16" s="352"/>
      <c r="BS16" s="352"/>
      <c r="BT16" s="509"/>
      <c r="BU16" s="509"/>
      <c r="BV16" s="509"/>
      <c r="BW16" s="509"/>
      <c r="BX16" s="509"/>
      <c r="BY16" s="509"/>
      <c r="BZ16" s="509"/>
      <c r="CA16" s="509"/>
      <c r="CB16" s="509"/>
      <c r="CC16" s="509"/>
      <c r="CD16" s="509"/>
      <c r="CE16" s="509"/>
      <c r="CF16" s="509"/>
      <c r="CG16" s="509"/>
      <c r="CH16" s="509"/>
      <c r="CI16" s="509"/>
      <c r="CJ16" s="509"/>
      <c r="CK16" s="509"/>
      <c r="CL16" s="509"/>
    </row>
    <row r="17" ht="14.25" customHeight="1">
      <c r="A17" s="181" t="s">
        <v>159</v>
      </c>
      <c r="B17" s="182">
        <v>869.0</v>
      </c>
      <c r="C17" s="182" t="s">
        <v>164</v>
      </c>
      <c r="D17" s="183">
        <v>18028.0</v>
      </c>
      <c r="E17" s="183">
        <v>17171.0</v>
      </c>
      <c r="F17" s="183">
        <v>857.0</v>
      </c>
      <c r="G17" s="507">
        <f t="shared" si="1"/>
        <v>0.8920568005</v>
      </c>
      <c r="H17" s="183">
        <v>16082.0</v>
      </c>
      <c r="I17" s="183">
        <v>15287.0</v>
      </c>
      <c r="J17" s="183">
        <f t="shared" si="2"/>
        <v>795</v>
      </c>
      <c r="K17" s="185">
        <v>13799.0</v>
      </c>
      <c r="L17" s="185">
        <v>2229.0</v>
      </c>
      <c r="M17" s="190">
        <f t="shared" si="3"/>
        <v>0.3370312847</v>
      </c>
      <c r="N17" s="183">
        <v>6076.0</v>
      </c>
      <c r="O17" s="183">
        <v>5482.0</v>
      </c>
      <c r="P17" s="183">
        <f t="shared" si="4"/>
        <v>594</v>
      </c>
      <c r="Q17" s="183">
        <v>2349.0</v>
      </c>
      <c r="R17" s="183">
        <v>2177.0</v>
      </c>
      <c r="S17" s="183">
        <f t="shared" si="5"/>
        <v>172</v>
      </c>
      <c r="T17" s="190">
        <f t="shared" si="6"/>
        <v>0.3447415132</v>
      </c>
      <c r="U17" s="183">
        <v>6215.0</v>
      </c>
      <c r="V17" s="183">
        <v>5647.0</v>
      </c>
      <c r="W17" s="183">
        <f t="shared" si="7"/>
        <v>568</v>
      </c>
      <c r="X17" s="274">
        <f t="shared" si="8"/>
        <v>0.7758486798</v>
      </c>
      <c r="Y17" s="183">
        <v>13987.0</v>
      </c>
      <c r="Z17" s="183">
        <v>13554.0</v>
      </c>
      <c r="AA17" s="183">
        <f t="shared" si="9"/>
        <v>433</v>
      </c>
      <c r="AB17" s="183">
        <v>13366.0</v>
      </c>
      <c r="AC17" s="185">
        <v>585.0</v>
      </c>
      <c r="AD17" s="190">
        <f t="shared" si="10"/>
        <v>0.6549256712</v>
      </c>
      <c r="AE17" s="183">
        <v>11807.0</v>
      </c>
      <c r="AF17" s="183">
        <v>11478.0</v>
      </c>
      <c r="AG17" s="183">
        <f t="shared" si="11"/>
        <v>329</v>
      </c>
      <c r="AH17" s="183">
        <v>11347.0</v>
      </c>
      <c r="AI17" s="185">
        <v>433.0</v>
      </c>
      <c r="AJ17" s="507">
        <f t="shared" si="12"/>
        <v>0.9982249834</v>
      </c>
      <c r="AK17" s="183">
        <v>17996.0</v>
      </c>
      <c r="AL17" s="183">
        <v>17139.0</v>
      </c>
      <c r="AM17" s="183">
        <f t="shared" si="13"/>
        <v>857</v>
      </c>
      <c r="AN17" s="507">
        <f t="shared" si="14"/>
        <v>0.9758153983</v>
      </c>
      <c r="AO17" s="183">
        <v>17592.0</v>
      </c>
      <c r="AP17" s="183">
        <v>16783.0</v>
      </c>
      <c r="AQ17" s="183">
        <f t="shared" si="15"/>
        <v>809</v>
      </c>
      <c r="AR17" s="507">
        <f t="shared" si="16"/>
        <v>0.9840803195</v>
      </c>
      <c r="AS17" s="183">
        <f t="shared" si="17"/>
        <v>17741</v>
      </c>
      <c r="AT17" s="183">
        <v>16916.0</v>
      </c>
      <c r="AU17" s="183">
        <v>825.0</v>
      </c>
      <c r="AV17" s="209">
        <f t="shared" si="18"/>
        <v>0.8797426226</v>
      </c>
      <c r="AW17" s="185">
        <v>15860.0</v>
      </c>
      <c r="AX17" s="185">
        <v>15010.0</v>
      </c>
      <c r="AY17" s="183">
        <f t="shared" si="19"/>
        <v>850</v>
      </c>
      <c r="AZ17" s="209">
        <f t="shared" si="20"/>
        <v>0.977812292</v>
      </c>
      <c r="BA17" s="185">
        <v>17628.0</v>
      </c>
      <c r="BB17" s="185">
        <v>16772.0</v>
      </c>
      <c r="BC17" s="185">
        <f t="shared" si="21"/>
        <v>856</v>
      </c>
      <c r="BD17" s="508">
        <f t="shared" si="22"/>
        <v>0.5825937431</v>
      </c>
      <c r="BE17" s="185">
        <v>10503.0</v>
      </c>
      <c r="BF17" s="185">
        <v>9856.0</v>
      </c>
      <c r="BG17" s="185">
        <f t="shared" si="23"/>
        <v>647</v>
      </c>
      <c r="BH17" s="508">
        <f t="shared" si="24"/>
        <v>0.475759929</v>
      </c>
      <c r="BI17" s="185">
        <v>8577.0</v>
      </c>
      <c r="BJ17" s="226">
        <v>8297.0</v>
      </c>
      <c r="BK17" s="185">
        <f t="shared" si="25"/>
        <v>280</v>
      </c>
      <c r="BL17" s="185">
        <v>8542.0</v>
      </c>
      <c r="BM17" s="185">
        <v>0.0</v>
      </c>
      <c r="BN17" s="185">
        <v>1385.0</v>
      </c>
      <c r="BO17" s="352"/>
      <c r="BP17" s="352"/>
      <c r="BR17" s="352"/>
      <c r="BS17" s="352"/>
      <c r="BT17" s="509"/>
      <c r="BU17" s="509"/>
      <c r="BV17" s="509"/>
      <c r="BW17" s="509"/>
      <c r="BX17" s="509"/>
      <c r="BY17" s="509"/>
      <c r="BZ17" s="509"/>
      <c r="CA17" s="509"/>
      <c r="CB17" s="509"/>
      <c r="CC17" s="509"/>
      <c r="CD17" s="509"/>
      <c r="CE17" s="509"/>
      <c r="CF17" s="509"/>
      <c r="CG17" s="509"/>
      <c r="CH17" s="509"/>
      <c r="CI17" s="509"/>
      <c r="CJ17" s="509"/>
      <c r="CK17" s="509"/>
      <c r="CL17" s="509"/>
    </row>
    <row r="18" ht="14.25" customHeight="1">
      <c r="A18" s="181" t="s">
        <v>159</v>
      </c>
      <c r="B18" s="182">
        <v>834.0</v>
      </c>
      <c r="C18" s="182" t="s">
        <v>165</v>
      </c>
      <c r="D18" s="183">
        <v>28805.0</v>
      </c>
      <c r="E18" s="183">
        <v>25555.0</v>
      </c>
      <c r="F18" s="183">
        <v>3250.0</v>
      </c>
      <c r="G18" s="507">
        <f t="shared" si="1"/>
        <v>0.420100677</v>
      </c>
      <c r="H18" s="183">
        <v>12101.0</v>
      </c>
      <c r="I18" s="183">
        <v>10211.0</v>
      </c>
      <c r="J18" s="183">
        <f t="shared" si="2"/>
        <v>1890</v>
      </c>
      <c r="K18" s="185">
        <v>8411.0</v>
      </c>
      <c r="L18" s="185">
        <v>3573.0</v>
      </c>
      <c r="M18" s="190">
        <f t="shared" si="3"/>
        <v>0.2596424232</v>
      </c>
      <c r="N18" s="183">
        <v>7479.0</v>
      </c>
      <c r="O18" s="183">
        <v>5834.0</v>
      </c>
      <c r="P18" s="183">
        <f t="shared" si="4"/>
        <v>1645</v>
      </c>
      <c r="Q18" s="183">
        <v>2450.0</v>
      </c>
      <c r="R18" s="183">
        <v>2025.0</v>
      </c>
      <c r="S18" s="183">
        <f t="shared" si="5"/>
        <v>425</v>
      </c>
      <c r="T18" s="190">
        <f t="shared" si="6"/>
        <v>0.2973789273</v>
      </c>
      <c r="U18" s="183">
        <v>8566.0</v>
      </c>
      <c r="V18" s="183">
        <v>7047.0</v>
      </c>
      <c r="W18" s="183">
        <f t="shared" si="7"/>
        <v>1519</v>
      </c>
      <c r="X18" s="274">
        <f t="shared" si="8"/>
        <v>0.3934733553</v>
      </c>
      <c r="Y18" s="183">
        <v>11334.0</v>
      </c>
      <c r="Z18" s="183">
        <v>10201.0</v>
      </c>
      <c r="AA18" s="183">
        <f t="shared" si="9"/>
        <v>1133</v>
      </c>
      <c r="AB18" s="183">
        <v>10200.0</v>
      </c>
      <c r="AC18" s="185">
        <v>1080.0</v>
      </c>
      <c r="AD18" s="190">
        <f t="shared" si="10"/>
        <v>0.148585315</v>
      </c>
      <c r="AE18" s="183">
        <v>4280.0</v>
      </c>
      <c r="AF18" s="183">
        <v>3809.0</v>
      </c>
      <c r="AG18" s="183">
        <f t="shared" si="11"/>
        <v>471</v>
      </c>
      <c r="AH18" s="183">
        <v>3760.0</v>
      </c>
      <c r="AI18" s="185">
        <v>493.0</v>
      </c>
      <c r="AJ18" s="507">
        <f t="shared" si="12"/>
        <v>0.9530637042</v>
      </c>
      <c r="AK18" s="183">
        <v>27453.0</v>
      </c>
      <c r="AL18" s="183">
        <v>24278.0</v>
      </c>
      <c r="AM18" s="183">
        <f t="shared" si="13"/>
        <v>3175</v>
      </c>
      <c r="AN18" s="507">
        <f t="shared" si="14"/>
        <v>0.7876410345</v>
      </c>
      <c r="AO18" s="183">
        <v>22688.0</v>
      </c>
      <c r="AP18" s="183">
        <v>19866.0</v>
      </c>
      <c r="AQ18" s="183">
        <f t="shared" si="15"/>
        <v>2822</v>
      </c>
      <c r="AR18" s="507">
        <f t="shared" si="16"/>
        <v>0.8237458775</v>
      </c>
      <c r="AS18" s="183">
        <f t="shared" si="17"/>
        <v>23728</v>
      </c>
      <c r="AT18" s="183">
        <v>20840.0</v>
      </c>
      <c r="AU18" s="183">
        <v>2888.0</v>
      </c>
      <c r="AV18" s="209">
        <f t="shared" si="18"/>
        <v>0.7909737893</v>
      </c>
      <c r="AW18" s="185">
        <v>22784.0</v>
      </c>
      <c r="AX18" s="185">
        <v>19603.0</v>
      </c>
      <c r="AY18" s="183">
        <f t="shared" si="19"/>
        <v>3181</v>
      </c>
      <c r="AZ18" s="209">
        <f t="shared" si="20"/>
        <v>0.7294219754</v>
      </c>
      <c r="BA18" s="185">
        <v>21011.0</v>
      </c>
      <c r="BB18" s="185">
        <v>18126.0</v>
      </c>
      <c r="BC18" s="185">
        <f t="shared" si="21"/>
        <v>2885</v>
      </c>
      <c r="BD18" s="508">
        <f t="shared" si="22"/>
        <v>0.4914077417</v>
      </c>
      <c r="BE18" s="185">
        <v>14155.0</v>
      </c>
      <c r="BF18" s="185">
        <v>11846.0</v>
      </c>
      <c r="BG18" s="185">
        <f t="shared" si="23"/>
        <v>2309</v>
      </c>
      <c r="BH18" s="508">
        <f t="shared" si="24"/>
        <v>0.4219406353</v>
      </c>
      <c r="BI18" s="185">
        <v>12154.0</v>
      </c>
      <c r="BJ18" s="226">
        <v>11096.0</v>
      </c>
      <c r="BK18" s="185">
        <f t="shared" si="25"/>
        <v>1058</v>
      </c>
      <c r="BL18" s="185">
        <v>12121.0</v>
      </c>
      <c r="BM18" s="185">
        <v>0.0</v>
      </c>
      <c r="BN18" s="185">
        <v>1098.0</v>
      </c>
      <c r="BO18" s="352"/>
      <c r="BP18" s="352"/>
      <c r="BR18" s="352"/>
      <c r="BS18" s="352"/>
      <c r="BT18" s="509"/>
      <c r="BU18" s="509"/>
      <c r="BV18" s="509"/>
      <c r="BW18" s="509"/>
      <c r="BX18" s="509"/>
      <c r="BY18" s="509"/>
      <c r="BZ18" s="509"/>
      <c r="CA18" s="509"/>
      <c r="CB18" s="509"/>
      <c r="CC18" s="509"/>
      <c r="CD18" s="509"/>
      <c r="CE18" s="509"/>
      <c r="CF18" s="509"/>
      <c r="CG18" s="509"/>
      <c r="CH18" s="509"/>
      <c r="CI18" s="509"/>
      <c r="CJ18" s="509"/>
      <c r="CK18" s="509"/>
      <c r="CL18" s="509"/>
    </row>
    <row r="19" ht="14.25" customHeight="1">
      <c r="A19" s="181" t="s">
        <v>153</v>
      </c>
      <c r="B19" s="182">
        <v>841.0</v>
      </c>
      <c r="C19" s="182" t="s">
        <v>166</v>
      </c>
      <c r="D19" s="183">
        <v>44855.0</v>
      </c>
      <c r="E19" s="183">
        <v>40780.0</v>
      </c>
      <c r="F19" s="183">
        <v>4075.0</v>
      </c>
      <c r="G19" s="507">
        <f t="shared" si="1"/>
        <v>0.9154386356</v>
      </c>
      <c r="H19" s="183">
        <v>41062.0</v>
      </c>
      <c r="I19" s="183">
        <v>37449.0</v>
      </c>
      <c r="J19" s="183">
        <f t="shared" si="2"/>
        <v>3613</v>
      </c>
      <c r="K19" s="185">
        <v>34071.0</v>
      </c>
      <c r="L19" s="185">
        <v>1501.0</v>
      </c>
      <c r="M19" s="190">
        <f t="shared" si="3"/>
        <v>0.360093635</v>
      </c>
      <c r="N19" s="183">
        <v>16152.0</v>
      </c>
      <c r="O19" s="183">
        <v>13768.0</v>
      </c>
      <c r="P19" s="183">
        <f t="shared" si="4"/>
        <v>2384</v>
      </c>
      <c r="Q19" s="183">
        <v>1490.0</v>
      </c>
      <c r="R19" s="183">
        <v>1087.0</v>
      </c>
      <c r="S19" s="183">
        <f t="shared" si="5"/>
        <v>403</v>
      </c>
      <c r="T19" s="190">
        <f t="shared" si="6"/>
        <v>0.3728904247</v>
      </c>
      <c r="U19" s="183">
        <v>16726.0</v>
      </c>
      <c r="V19" s="183">
        <v>14538.0</v>
      </c>
      <c r="W19" s="183">
        <f t="shared" si="7"/>
        <v>2188</v>
      </c>
      <c r="X19" s="274">
        <f t="shared" si="8"/>
        <v>0.6421357708</v>
      </c>
      <c r="Y19" s="183">
        <v>28803.0</v>
      </c>
      <c r="Z19" s="183">
        <v>26822.0</v>
      </c>
      <c r="AA19" s="183">
        <f t="shared" si="9"/>
        <v>1981</v>
      </c>
      <c r="AB19" s="183">
        <v>26364.0</v>
      </c>
      <c r="AC19" s="185">
        <v>578.0</v>
      </c>
      <c r="AD19" s="190">
        <f t="shared" si="10"/>
        <v>0.3707501951</v>
      </c>
      <c r="AE19" s="183">
        <v>16630.0</v>
      </c>
      <c r="AF19" s="183">
        <v>15601.0</v>
      </c>
      <c r="AG19" s="183">
        <f t="shared" si="11"/>
        <v>1029</v>
      </c>
      <c r="AH19" s="183">
        <v>15474.0</v>
      </c>
      <c r="AI19" s="185">
        <v>335.0</v>
      </c>
      <c r="AJ19" s="507">
        <f t="shared" si="12"/>
        <v>0.9587559915</v>
      </c>
      <c r="AK19" s="183">
        <v>43005.0</v>
      </c>
      <c r="AL19" s="183">
        <v>39016.0</v>
      </c>
      <c r="AM19" s="183">
        <f t="shared" si="13"/>
        <v>3989</v>
      </c>
      <c r="AN19" s="507">
        <f t="shared" si="14"/>
        <v>0.9443094415</v>
      </c>
      <c r="AO19" s="183">
        <v>42357.0</v>
      </c>
      <c r="AP19" s="183">
        <v>38581.0</v>
      </c>
      <c r="AQ19" s="183">
        <f t="shared" si="15"/>
        <v>3776</v>
      </c>
      <c r="AR19" s="507">
        <f t="shared" si="16"/>
        <v>0.9650429161</v>
      </c>
      <c r="AS19" s="183">
        <f t="shared" si="17"/>
        <v>43287</v>
      </c>
      <c r="AT19" s="183">
        <v>39336.0</v>
      </c>
      <c r="AU19" s="183">
        <v>3951.0</v>
      </c>
      <c r="AV19" s="209">
        <f t="shared" si="18"/>
        <v>0.7602719875</v>
      </c>
      <c r="AW19" s="185">
        <v>34102.0</v>
      </c>
      <c r="AX19" s="185">
        <v>30312.0</v>
      </c>
      <c r="AY19" s="183">
        <f t="shared" si="19"/>
        <v>3790</v>
      </c>
      <c r="AZ19" s="209">
        <f t="shared" si="20"/>
        <v>0.920922974</v>
      </c>
      <c r="BA19" s="185">
        <v>41308.0</v>
      </c>
      <c r="BB19" s="185">
        <v>37355.0</v>
      </c>
      <c r="BC19" s="185">
        <f t="shared" si="21"/>
        <v>3953</v>
      </c>
      <c r="BD19" s="508">
        <f t="shared" si="22"/>
        <v>0.6531267417</v>
      </c>
      <c r="BE19" s="185">
        <v>29296.0</v>
      </c>
      <c r="BF19" s="185">
        <v>26166.0</v>
      </c>
      <c r="BG19" s="185">
        <f t="shared" si="23"/>
        <v>3130</v>
      </c>
      <c r="BH19" s="508">
        <f t="shared" si="24"/>
        <v>0.7250473749</v>
      </c>
      <c r="BI19" s="185">
        <v>32522.0</v>
      </c>
      <c r="BJ19" s="226">
        <v>30790.0</v>
      </c>
      <c r="BK19" s="185">
        <f t="shared" si="25"/>
        <v>1732</v>
      </c>
      <c r="BL19" s="185">
        <v>31316.0</v>
      </c>
      <c r="BM19" s="185">
        <v>0.0</v>
      </c>
      <c r="BN19" s="185">
        <v>6273.0</v>
      </c>
      <c r="BO19" s="352"/>
      <c r="BP19" s="352"/>
      <c r="BR19" s="352"/>
      <c r="BS19" s="352"/>
      <c r="BT19" s="509"/>
      <c r="BU19" s="509"/>
      <c r="BV19" s="509"/>
      <c r="BW19" s="509"/>
      <c r="BX19" s="509"/>
      <c r="BY19" s="509"/>
      <c r="BZ19" s="509"/>
      <c r="CA19" s="509"/>
      <c r="CB19" s="509"/>
      <c r="CC19" s="509"/>
      <c r="CD19" s="509"/>
      <c r="CE19" s="509"/>
      <c r="CF19" s="509"/>
      <c r="CG19" s="509"/>
      <c r="CH19" s="509"/>
      <c r="CI19" s="509"/>
      <c r="CJ19" s="509"/>
      <c r="CK19" s="509"/>
      <c r="CL19" s="509"/>
    </row>
    <row r="20" ht="14.25" customHeight="1">
      <c r="A20" s="181" t="s">
        <v>159</v>
      </c>
      <c r="B20" s="182">
        <v>862.0</v>
      </c>
      <c r="C20" s="182" t="s">
        <v>167</v>
      </c>
      <c r="D20" s="183">
        <v>76450.0</v>
      </c>
      <c r="E20" s="183">
        <v>54918.0</v>
      </c>
      <c r="F20" s="183">
        <v>21532.0</v>
      </c>
      <c r="G20" s="507">
        <f t="shared" si="1"/>
        <v>0.9465663833</v>
      </c>
      <c r="H20" s="183">
        <v>72365.0</v>
      </c>
      <c r="I20" s="183">
        <v>52179.0</v>
      </c>
      <c r="J20" s="183">
        <f t="shared" si="2"/>
        <v>20186</v>
      </c>
      <c r="K20" s="185">
        <v>46213.0</v>
      </c>
      <c r="L20" s="185">
        <v>18167.0</v>
      </c>
      <c r="M20" s="190">
        <f t="shared" si="3"/>
        <v>0.3330019621</v>
      </c>
      <c r="N20" s="183">
        <v>25458.0</v>
      </c>
      <c r="O20" s="183">
        <v>14491.0</v>
      </c>
      <c r="P20" s="183">
        <f t="shared" si="4"/>
        <v>10967</v>
      </c>
      <c r="Q20" s="183">
        <v>3172.0</v>
      </c>
      <c r="R20" s="183">
        <v>1870.0</v>
      </c>
      <c r="S20" s="183">
        <f t="shared" si="5"/>
        <v>1302</v>
      </c>
      <c r="T20" s="190">
        <f t="shared" si="6"/>
        <v>0.2954872466</v>
      </c>
      <c r="U20" s="183">
        <v>22590.0</v>
      </c>
      <c r="V20" s="183">
        <v>10432.0</v>
      </c>
      <c r="W20" s="183">
        <f t="shared" si="7"/>
        <v>12158</v>
      </c>
      <c r="X20" s="274">
        <f t="shared" si="8"/>
        <v>0.7041726619</v>
      </c>
      <c r="Y20" s="183">
        <v>53834.0</v>
      </c>
      <c r="Z20" s="183">
        <v>42271.0</v>
      </c>
      <c r="AA20" s="183">
        <f t="shared" si="9"/>
        <v>11563</v>
      </c>
      <c r="AB20" s="183">
        <v>40594.0</v>
      </c>
      <c r="AC20" s="185">
        <v>8765.0</v>
      </c>
      <c r="AD20" s="190">
        <f t="shared" si="10"/>
        <v>0.5851536952</v>
      </c>
      <c r="AE20" s="183">
        <v>44735.0</v>
      </c>
      <c r="AF20" s="183">
        <v>35757.0</v>
      </c>
      <c r="AG20" s="183">
        <f t="shared" si="11"/>
        <v>8978</v>
      </c>
      <c r="AH20" s="183">
        <v>34855.0</v>
      </c>
      <c r="AI20" s="185">
        <v>6647.0</v>
      </c>
      <c r="AJ20" s="507">
        <f t="shared" si="12"/>
        <v>0.9803793329</v>
      </c>
      <c r="AK20" s="183">
        <v>74950.0</v>
      </c>
      <c r="AL20" s="183">
        <v>53763.0</v>
      </c>
      <c r="AM20" s="183">
        <f t="shared" si="13"/>
        <v>21187</v>
      </c>
      <c r="AN20" s="507">
        <f t="shared" si="14"/>
        <v>0.9339829954</v>
      </c>
      <c r="AO20" s="183">
        <v>71403.0</v>
      </c>
      <c r="AP20" s="183">
        <v>51277.0</v>
      </c>
      <c r="AQ20" s="183">
        <f t="shared" si="15"/>
        <v>20126</v>
      </c>
      <c r="AR20" s="507">
        <f t="shared" si="16"/>
        <v>0.9725179856</v>
      </c>
      <c r="AS20" s="183">
        <f t="shared" si="17"/>
        <v>74349</v>
      </c>
      <c r="AT20" s="183">
        <v>53264.0</v>
      </c>
      <c r="AU20" s="183">
        <v>21085.0</v>
      </c>
      <c r="AV20" s="209">
        <f t="shared" si="18"/>
        <v>0.8347547417</v>
      </c>
      <c r="AW20" s="185">
        <v>63817.0</v>
      </c>
      <c r="AX20" s="185">
        <v>45208.0</v>
      </c>
      <c r="AY20" s="183">
        <f t="shared" si="19"/>
        <v>18609</v>
      </c>
      <c r="AZ20" s="209">
        <f t="shared" si="20"/>
        <v>0.9858731197</v>
      </c>
      <c r="BA20" s="185">
        <v>75370.0</v>
      </c>
      <c r="BB20" s="185">
        <v>54044.0</v>
      </c>
      <c r="BC20" s="185">
        <f t="shared" si="21"/>
        <v>21326</v>
      </c>
      <c r="BD20" s="508">
        <f t="shared" si="22"/>
        <v>0.6954610857</v>
      </c>
      <c r="BE20" s="185">
        <v>53168.0</v>
      </c>
      <c r="BF20" s="185">
        <v>34328.0</v>
      </c>
      <c r="BG20" s="185">
        <f t="shared" si="23"/>
        <v>18840</v>
      </c>
      <c r="BH20" s="508">
        <f t="shared" si="24"/>
        <v>0.5890385873</v>
      </c>
      <c r="BI20" s="185">
        <v>45032.0</v>
      </c>
      <c r="BJ20" s="226">
        <v>37404.0</v>
      </c>
      <c r="BK20" s="185">
        <f t="shared" si="25"/>
        <v>7628</v>
      </c>
      <c r="BL20" s="185">
        <v>39131.0</v>
      </c>
      <c r="BM20" s="185">
        <v>0.0</v>
      </c>
      <c r="BN20" s="185">
        <v>5543.0</v>
      </c>
      <c r="BO20" s="352"/>
      <c r="BP20" s="352"/>
      <c r="BR20" s="352"/>
      <c r="BS20" s="352"/>
      <c r="BT20" s="509"/>
      <c r="BU20" s="509"/>
      <c r="BV20" s="509"/>
      <c r="BW20" s="509"/>
      <c r="BX20" s="509"/>
      <c r="BY20" s="509"/>
      <c r="BZ20" s="509"/>
      <c r="CA20" s="509"/>
      <c r="CB20" s="509"/>
      <c r="CC20" s="509"/>
      <c r="CD20" s="509"/>
      <c r="CE20" s="509"/>
      <c r="CF20" s="509"/>
      <c r="CG20" s="509"/>
      <c r="CH20" s="509"/>
      <c r="CI20" s="509"/>
      <c r="CJ20" s="509"/>
      <c r="CK20" s="509"/>
      <c r="CL20" s="509"/>
    </row>
    <row r="21" ht="14.25" customHeight="1">
      <c r="A21" s="181" t="s">
        <v>148</v>
      </c>
      <c r="B21" s="182">
        <v>928.0</v>
      </c>
      <c r="C21" s="182" t="s">
        <v>168</v>
      </c>
      <c r="D21" s="183">
        <v>16240.0</v>
      </c>
      <c r="E21" s="183">
        <v>12917.0</v>
      </c>
      <c r="F21" s="511">
        <v>3323.0</v>
      </c>
      <c r="G21" s="507">
        <f t="shared" si="1"/>
        <v>0.9541256158</v>
      </c>
      <c r="H21" s="183">
        <v>15495.0</v>
      </c>
      <c r="I21" s="183">
        <v>12267.0</v>
      </c>
      <c r="J21" s="183">
        <f t="shared" si="2"/>
        <v>3228</v>
      </c>
      <c r="K21" s="185">
        <v>4723.0</v>
      </c>
      <c r="L21" s="185">
        <v>3006.0</v>
      </c>
      <c r="M21" s="190">
        <f t="shared" si="3"/>
        <v>0.9612068966</v>
      </c>
      <c r="N21" s="183">
        <v>15610.0</v>
      </c>
      <c r="O21" s="183">
        <v>12390.0</v>
      </c>
      <c r="P21" s="183">
        <f t="shared" si="4"/>
        <v>3220</v>
      </c>
      <c r="Q21" s="183">
        <v>6234.0</v>
      </c>
      <c r="R21" s="183">
        <v>4831.0</v>
      </c>
      <c r="S21" s="183">
        <f t="shared" si="5"/>
        <v>1403</v>
      </c>
      <c r="T21" s="190">
        <f t="shared" si="6"/>
        <v>0.951908867</v>
      </c>
      <c r="U21" s="183">
        <v>15459.0</v>
      </c>
      <c r="V21" s="183">
        <v>12226.0</v>
      </c>
      <c r="W21" s="183">
        <f t="shared" si="7"/>
        <v>3233</v>
      </c>
      <c r="X21" s="274">
        <f t="shared" si="8"/>
        <v>0.7804802956</v>
      </c>
      <c r="Y21" s="183">
        <v>12675.0</v>
      </c>
      <c r="Z21" s="183">
        <v>10124.0</v>
      </c>
      <c r="AA21" s="183">
        <f t="shared" si="9"/>
        <v>2551</v>
      </c>
      <c r="AB21" s="183">
        <v>4495.0</v>
      </c>
      <c r="AC21" s="185">
        <v>1363.0</v>
      </c>
      <c r="AD21" s="190">
        <f t="shared" si="10"/>
        <v>0.6092980296</v>
      </c>
      <c r="AE21" s="183">
        <v>9895.0</v>
      </c>
      <c r="AF21" s="183">
        <v>7865.0</v>
      </c>
      <c r="AG21" s="183">
        <f t="shared" si="11"/>
        <v>2030</v>
      </c>
      <c r="AH21" s="183">
        <v>3816.0</v>
      </c>
      <c r="AI21" s="185">
        <v>886.0</v>
      </c>
      <c r="AJ21" s="507">
        <f t="shared" si="12"/>
        <v>0.9965517241</v>
      </c>
      <c r="AK21" s="183">
        <v>16184.0</v>
      </c>
      <c r="AL21" s="183">
        <v>12866.0</v>
      </c>
      <c r="AM21" s="183">
        <f t="shared" si="13"/>
        <v>3318</v>
      </c>
      <c r="AN21" s="507">
        <f t="shared" si="14"/>
        <v>0.9767857143</v>
      </c>
      <c r="AO21" s="183">
        <v>15863.0</v>
      </c>
      <c r="AP21" s="183">
        <v>12706.0</v>
      </c>
      <c r="AQ21" s="183">
        <f t="shared" si="15"/>
        <v>3157</v>
      </c>
      <c r="AR21" s="507">
        <f t="shared" si="16"/>
        <v>0.9903940887</v>
      </c>
      <c r="AS21" s="183">
        <f t="shared" si="17"/>
        <v>16084</v>
      </c>
      <c r="AT21" s="183">
        <v>12801.0</v>
      </c>
      <c r="AU21" s="183">
        <v>3283.0</v>
      </c>
      <c r="AV21" s="209">
        <f t="shared" si="18"/>
        <v>0.9865147783</v>
      </c>
      <c r="AW21" s="185">
        <v>16021.0</v>
      </c>
      <c r="AX21" s="185">
        <v>12728.0</v>
      </c>
      <c r="AY21" s="183">
        <f t="shared" si="19"/>
        <v>3293</v>
      </c>
      <c r="AZ21" s="209">
        <f t="shared" si="20"/>
        <v>0.9951970443</v>
      </c>
      <c r="BA21" s="185">
        <v>16162.0</v>
      </c>
      <c r="BB21" s="185">
        <v>12842.0</v>
      </c>
      <c r="BC21" s="185">
        <f t="shared" si="21"/>
        <v>3320</v>
      </c>
      <c r="BD21" s="508">
        <f t="shared" si="22"/>
        <v>0.7297413793</v>
      </c>
      <c r="BE21" s="185">
        <v>11851.0</v>
      </c>
      <c r="BF21" s="185">
        <v>9327.0</v>
      </c>
      <c r="BG21" s="185">
        <f t="shared" si="23"/>
        <v>2524</v>
      </c>
      <c r="BH21" s="508">
        <f t="shared" si="24"/>
        <v>0.7459975369</v>
      </c>
      <c r="BI21" s="185">
        <v>12115.0</v>
      </c>
      <c r="BJ21" s="226">
        <v>9878.0</v>
      </c>
      <c r="BK21" s="185">
        <f t="shared" si="25"/>
        <v>2237</v>
      </c>
      <c r="BL21" s="185">
        <v>4877.0</v>
      </c>
      <c r="BM21" s="185">
        <v>0.0</v>
      </c>
      <c r="BN21" s="185">
        <v>234.0</v>
      </c>
      <c r="BO21" s="352"/>
      <c r="BP21" s="352"/>
      <c r="BR21" s="352"/>
      <c r="BS21" s="352"/>
      <c r="BT21" s="509"/>
      <c r="BU21" s="509"/>
      <c r="BV21" s="509"/>
      <c r="BW21" s="509"/>
      <c r="BX21" s="509"/>
      <c r="BY21" s="509"/>
      <c r="BZ21" s="509"/>
      <c r="CA21" s="509"/>
      <c r="CB21" s="509"/>
      <c r="CC21" s="509"/>
      <c r="CD21" s="509"/>
      <c r="CE21" s="509"/>
      <c r="CF21" s="509"/>
      <c r="CG21" s="509"/>
      <c r="CH21" s="509"/>
      <c r="CI21" s="509"/>
      <c r="CJ21" s="509"/>
      <c r="CK21" s="509"/>
      <c r="CL21" s="509"/>
    </row>
    <row r="22" ht="14.25" customHeight="1">
      <c r="A22" s="181" t="s">
        <v>148</v>
      </c>
      <c r="B22" s="182">
        <v>844.0</v>
      </c>
      <c r="C22" s="182" t="s">
        <v>169</v>
      </c>
      <c r="D22" s="183">
        <v>978.0</v>
      </c>
      <c r="E22" s="183">
        <v>914.0</v>
      </c>
      <c r="F22" s="183">
        <v>64.0</v>
      </c>
      <c r="G22" s="507">
        <f t="shared" si="1"/>
        <v>0.927402863</v>
      </c>
      <c r="H22" s="183">
        <v>907.0</v>
      </c>
      <c r="I22" s="183">
        <v>852.0</v>
      </c>
      <c r="J22" s="183">
        <f t="shared" si="2"/>
        <v>55</v>
      </c>
      <c r="K22" s="185">
        <v>787.0</v>
      </c>
      <c r="L22" s="185">
        <v>98.0</v>
      </c>
      <c r="M22" s="190">
        <f t="shared" si="3"/>
        <v>0.3721881391</v>
      </c>
      <c r="N22" s="183">
        <v>364.0</v>
      </c>
      <c r="O22" s="183">
        <v>320.0</v>
      </c>
      <c r="P22" s="183">
        <f t="shared" si="4"/>
        <v>44</v>
      </c>
      <c r="Q22" s="183">
        <v>135.0</v>
      </c>
      <c r="R22" s="183">
        <v>125.0</v>
      </c>
      <c r="S22" s="183">
        <f t="shared" si="5"/>
        <v>10</v>
      </c>
      <c r="T22" s="190">
        <f t="shared" si="6"/>
        <v>0.427402863</v>
      </c>
      <c r="U22" s="183">
        <v>418.0</v>
      </c>
      <c r="V22" s="183">
        <v>389.0</v>
      </c>
      <c r="W22" s="183">
        <f t="shared" si="7"/>
        <v>29</v>
      </c>
      <c r="X22" s="274">
        <f t="shared" si="8"/>
        <v>0.7873210634</v>
      </c>
      <c r="Y22" s="183">
        <v>770.0</v>
      </c>
      <c r="Z22" s="183">
        <v>731.0</v>
      </c>
      <c r="AA22" s="183">
        <f t="shared" si="9"/>
        <v>39</v>
      </c>
      <c r="AB22" s="183">
        <v>723.0</v>
      </c>
      <c r="AC22" s="185">
        <v>39.0</v>
      </c>
      <c r="AD22" s="190">
        <f t="shared" si="10"/>
        <v>0.3128834356</v>
      </c>
      <c r="AE22" s="183">
        <v>306.0</v>
      </c>
      <c r="AF22" s="183">
        <v>286.0</v>
      </c>
      <c r="AG22" s="183">
        <f t="shared" si="11"/>
        <v>20</v>
      </c>
      <c r="AH22" s="183">
        <v>290.0</v>
      </c>
      <c r="AI22" s="185">
        <v>13.0</v>
      </c>
      <c r="AJ22" s="507">
        <f t="shared" si="12"/>
        <v>0.9171779141</v>
      </c>
      <c r="AK22" s="183">
        <v>897.0</v>
      </c>
      <c r="AL22" s="183">
        <v>836.0</v>
      </c>
      <c r="AM22" s="183">
        <f t="shared" si="13"/>
        <v>61</v>
      </c>
      <c r="AN22" s="507">
        <f t="shared" si="14"/>
        <v>0.9294478528</v>
      </c>
      <c r="AO22" s="183">
        <v>909.0</v>
      </c>
      <c r="AP22" s="183">
        <v>852.0</v>
      </c>
      <c r="AQ22" s="183">
        <f t="shared" si="15"/>
        <v>57</v>
      </c>
      <c r="AR22" s="507">
        <f t="shared" si="16"/>
        <v>0.8987730061</v>
      </c>
      <c r="AS22" s="183">
        <f t="shared" si="17"/>
        <v>879</v>
      </c>
      <c r="AT22" s="183">
        <v>819.0</v>
      </c>
      <c r="AU22" s="183">
        <v>60.0</v>
      </c>
      <c r="AV22" s="209">
        <f t="shared" si="18"/>
        <v>0.8844580777</v>
      </c>
      <c r="AW22" s="185">
        <v>865.0</v>
      </c>
      <c r="AX22" s="185">
        <v>805.0</v>
      </c>
      <c r="AY22" s="183">
        <f t="shared" si="19"/>
        <v>60</v>
      </c>
      <c r="AZ22" s="209">
        <f t="shared" si="20"/>
        <v>0.9222903885</v>
      </c>
      <c r="BA22" s="185">
        <v>902.0</v>
      </c>
      <c r="BB22" s="185">
        <v>839.0</v>
      </c>
      <c r="BC22" s="185">
        <f t="shared" si="21"/>
        <v>63</v>
      </c>
      <c r="BD22" s="508">
        <f t="shared" si="22"/>
        <v>0.3312883436</v>
      </c>
      <c r="BE22" s="185">
        <v>324.0</v>
      </c>
      <c r="BF22" s="185">
        <v>292.0</v>
      </c>
      <c r="BG22" s="185">
        <f t="shared" si="23"/>
        <v>32</v>
      </c>
      <c r="BH22" s="508">
        <f t="shared" si="24"/>
        <v>0.3824130879</v>
      </c>
      <c r="BI22" s="185">
        <v>374.0</v>
      </c>
      <c r="BJ22" s="226">
        <v>355.0</v>
      </c>
      <c r="BK22" s="185">
        <f t="shared" si="25"/>
        <v>19</v>
      </c>
      <c r="BL22" s="185">
        <v>369.0</v>
      </c>
      <c r="BM22" s="185">
        <v>0.0</v>
      </c>
      <c r="BN22" s="185">
        <v>18.0</v>
      </c>
      <c r="BO22" s="352"/>
      <c r="BP22" s="352"/>
      <c r="BR22" s="352"/>
      <c r="BS22" s="352"/>
      <c r="BT22" s="509"/>
      <c r="BU22" s="509"/>
      <c r="BV22" s="509"/>
      <c r="BW22" s="509"/>
      <c r="BX22" s="509"/>
      <c r="BY22" s="509"/>
      <c r="BZ22" s="509"/>
      <c r="CA22" s="509"/>
      <c r="CB22" s="509"/>
      <c r="CC22" s="509"/>
      <c r="CD22" s="509"/>
      <c r="CE22" s="509"/>
      <c r="CF22" s="509"/>
      <c r="CG22" s="509"/>
      <c r="CH22" s="509"/>
      <c r="CI22" s="509"/>
      <c r="CJ22" s="509"/>
      <c r="CK22" s="509"/>
      <c r="CL22" s="509"/>
    </row>
    <row r="23" ht="14.25" customHeight="1">
      <c r="A23" s="181" t="s">
        <v>146</v>
      </c>
      <c r="B23" s="182">
        <v>851.0</v>
      </c>
      <c r="C23" s="182" t="s">
        <v>170</v>
      </c>
      <c r="D23" s="183">
        <v>38.0</v>
      </c>
      <c r="E23" s="183">
        <v>38.0</v>
      </c>
      <c r="F23" s="183">
        <v>0.0</v>
      </c>
      <c r="G23" s="507">
        <f t="shared" si="1"/>
        <v>1</v>
      </c>
      <c r="H23" s="183">
        <v>38.0</v>
      </c>
      <c r="I23" s="183">
        <v>38.0</v>
      </c>
      <c r="J23" s="183">
        <f t="shared" si="2"/>
        <v>0</v>
      </c>
      <c r="K23" s="185">
        <v>36.0</v>
      </c>
      <c r="L23" s="226">
        <v>0.0</v>
      </c>
      <c r="M23" s="190">
        <f t="shared" si="3"/>
        <v>0.9473684211</v>
      </c>
      <c r="N23" s="183">
        <v>36.0</v>
      </c>
      <c r="O23" s="183">
        <v>36.0</v>
      </c>
      <c r="P23" s="183">
        <f t="shared" si="4"/>
        <v>0</v>
      </c>
      <c r="Q23" s="183">
        <v>15.0</v>
      </c>
      <c r="R23" s="183">
        <v>15.0</v>
      </c>
      <c r="S23" s="183">
        <f t="shared" si="5"/>
        <v>0</v>
      </c>
      <c r="T23" s="190">
        <f t="shared" si="6"/>
        <v>0.9736842105</v>
      </c>
      <c r="U23" s="183">
        <v>37.0</v>
      </c>
      <c r="V23" s="183">
        <v>37.0</v>
      </c>
      <c r="W23" s="183">
        <f t="shared" si="7"/>
        <v>0</v>
      </c>
      <c r="X23" s="274">
        <f t="shared" si="8"/>
        <v>0.9473684211</v>
      </c>
      <c r="Y23" s="183">
        <v>36.0</v>
      </c>
      <c r="Z23" s="183">
        <v>36.0</v>
      </c>
      <c r="AA23" s="183">
        <f t="shared" si="9"/>
        <v>0</v>
      </c>
      <c r="AB23" s="183">
        <v>34.0</v>
      </c>
      <c r="AC23" s="226">
        <v>0.0</v>
      </c>
      <c r="AD23" s="190">
        <f t="shared" si="10"/>
        <v>0.7631578947</v>
      </c>
      <c r="AE23" s="183">
        <v>29.0</v>
      </c>
      <c r="AF23" s="183">
        <v>29.0</v>
      </c>
      <c r="AG23" s="183">
        <f t="shared" si="11"/>
        <v>0</v>
      </c>
      <c r="AH23" s="183">
        <v>27.0</v>
      </c>
      <c r="AI23" s="185">
        <v>0.0</v>
      </c>
      <c r="AJ23" s="507">
        <f t="shared" si="12"/>
        <v>1</v>
      </c>
      <c r="AK23" s="183">
        <v>38.0</v>
      </c>
      <c r="AL23" s="183">
        <v>38.0</v>
      </c>
      <c r="AM23" s="183">
        <f t="shared" si="13"/>
        <v>0</v>
      </c>
      <c r="AN23" s="507">
        <f t="shared" si="14"/>
        <v>1</v>
      </c>
      <c r="AO23" s="183">
        <v>38.0</v>
      </c>
      <c r="AP23" s="183">
        <v>38.0</v>
      </c>
      <c r="AQ23" s="183">
        <f t="shared" si="15"/>
        <v>0</v>
      </c>
      <c r="AR23" s="507">
        <f t="shared" si="16"/>
        <v>1</v>
      </c>
      <c r="AS23" s="183">
        <f t="shared" si="17"/>
        <v>38</v>
      </c>
      <c r="AT23" s="183">
        <v>38.0</v>
      </c>
      <c r="AU23" s="183">
        <v>0.0</v>
      </c>
      <c r="AV23" s="209">
        <f t="shared" si="18"/>
        <v>0.9210526316</v>
      </c>
      <c r="AW23" s="185">
        <v>35.0</v>
      </c>
      <c r="AX23" s="185">
        <v>35.0</v>
      </c>
      <c r="AY23" s="183">
        <f t="shared" si="19"/>
        <v>0</v>
      </c>
      <c r="AZ23" s="209">
        <f t="shared" si="20"/>
        <v>1</v>
      </c>
      <c r="BA23" s="185">
        <v>38.0</v>
      </c>
      <c r="BB23" s="185">
        <v>38.0</v>
      </c>
      <c r="BC23" s="185">
        <f t="shared" si="21"/>
        <v>0</v>
      </c>
      <c r="BD23" s="508">
        <f t="shared" si="22"/>
        <v>0.8947368421</v>
      </c>
      <c r="BE23" s="185">
        <v>34.0</v>
      </c>
      <c r="BF23" s="185">
        <v>34.0</v>
      </c>
      <c r="BG23" s="185">
        <f t="shared" si="23"/>
        <v>0</v>
      </c>
      <c r="BH23" s="508">
        <f t="shared" si="24"/>
        <v>0.9736842105</v>
      </c>
      <c r="BI23" s="185">
        <v>37.0</v>
      </c>
      <c r="BJ23" s="226">
        <v>37.0</v>
      </c>
      <c r="BK23" s="185">
        <f t="shared" si="25"/>
        <v>0</v>
      </c>
      <c r="BL23" s="185">
        <v>35.0</v>
      </c>
      <c r="BM23" s="185">
        <v>0.0</v>
      </c>
      <c r="BN23" s="185">
        <v>0.0</v>
      </c>
      <c r="BO23" s="352"/>
      <c r="BP23" s="352"/>
      <c r="BR23" s="352"/>
      <c r="BS23" s="352"/>
      <c r="BT23" s="509"/>
      <c r="BU23" s="509"/>
      <c r="BV23" s="509"/>
      <c r="BW23" s="509"/>
      <c r="BX23" s="509"/>
      <c r="BY23" s="509"/>
      <c r="BZ23" s="509"/>
      <c r="CA23" s="509"/>
      <c r="CB23" s="509"/>
      <c r="CC23" s="509"/>
      <c r="CD23" s="509"/>
      <c r="CE23" s="509"/>
      <c r="CF23" s="509"/>
      <c r="CG23" s="509"/>
      <c r="CH23" s="509"/>
      <c r="CI23" s="509"/>
      <c r="CJ23" s="509"/>
      <c r="CK23" s="509"/>
      <c r="CL23" s="509"/>
    </row>
    <row r="24" ht="14.25" customHeight="1">
      <c r="A24" s="181" t="s">
        <v>155</v>
      </c>
      <c r="B24" s="182">
        <v>771.0</v>
      </c>
      <c r="C24" s="182" t="s">
        <v>171</v>
      </c>
      <c r="D24" s="183">
        <v>125582.0</v>
      </c>
      <c r="E24" s="183">
        <v>104010.0</v>
      </c>
      <c r="F24" s="183">
        <v>21572.0</v>
      </c>
      <c r="G24" s="507">
        <f t="shared" si="1"/>
        <v>0.9347677215</v>
      </c>
      <c r="H24" s="183">
        <v>117390.0</v>
      </c>
      <c r="I24" s="183">
        <v>97425.0</v>
      </c>
      <c r="J24" s="183">
        <f t="shared" si="2"/>
        <v>19965</v>
      </c>
      <c r="K24" s="185">
        <v>63002.0</v>
      </c>
      <c r="L24" s="185">
        <v>27620.0</v>
      </c>
      <c r="M24" s="190">
        <f t="shared" si="3"/>
        <v>0.188355019</v>
      </c>
      <c r="N24" s="183">
        <v>23654.0</v>
      </c>
      <c r="O24" s="183">
        <v>13403.0</v>
      </c>
      <c r="P24" s="183">
        <f t="shared" si="4"/>
        <v>10251</v>
      </c>
      <c r="Q24" s="183">
        <v>846.0</v>
      </c>
      <c r="R24" s="183">
        <v>325.0</v>
      </c>
      <c r="S24" s="183">
        <f t="shared" si="5"/>
        <v>521</v>
      </c>
      <c r="T24" s="190">
        <f t="shared" si="6"/>
        <v>0.2752146008</v>
      </c>
      <c r="U24" s="183">
        <v>34562.0</v>
      </c>
      <c r="V24" s="183">
        <v>23226.0</v>
      </c>
      <c r="W24" s="183">
        <f t="shared" si="7"/>
        <v>11336</v>
      </c>
      <c r="X24" s="274">
        <f t="shared" si="8"/>
        <v>0.8028539122</v>
      </c>
      <c r="Y24" s="183">
        <v>100824.0</v>
      </c>
      <c r="Z24" s="183">
        <v>85283.0</v>
      </c>
      <c r="AA24" s="183">
        <f t="shared" si="9"/>
        <v>15541</v>
      </c>
      <c r="AB24" s="183">
        <v>57759.0</v>
      </c>
      <c r="AC24" s="185">
        <v>19765.0</v>
      </c>
      <c r="AD24" s="190">
        <f t="shared" si="10"/>
        <v>0.381686866</v>
      </c>
      <c r="AE24" s="183">
        <v>47933.0</v>
      </c>
      <c r="AF24" s="183">
        <v>39225.0</v>
      </c>
      <c r="AG24" s="183">
        <f t="shared" si="11"/>
        <v>8708</v>
      </c>
      <c r="AH24" s="183">
        <v>26457.0</v>
      </c>
      <c r="AI24" s="185">
        <v>11783.0</v>
      </c>
      <c r="AJ24" s="507">
        <f t="shared" si="12"/>
        <v>0.9414884299</v>
      </c>
      <c r="AK24" s="183">
        <v>118234.0</v>
      </c>
      <c r="AL24" s="183">
        <v>98245.0</v>
      </c>
      <c r="AM24" s="183">
        <f t="shared" si="13"/>
        <v>19989</v>
      </c>
      <c r="AN24" s="507">
        <f t="shared" si="14"/>
        <v>0.9278797917</v>
      </c>
      <c r="AO24" s="183">
        <v>116525.0</v>
      </c>
      <c r="AP24" s="183">
        <v>96143.0</v>
      </c>
      <c r="AQ24" s="183">
        <f t="shared" si="15"/>
        <v>20382</v>
      </c>
      <c r="AR24" s="507">
        <f t="shared" si="16"/>
        <v>0.9478428437</v>
      </c>
      <c r="AS24" s="183">
        <f t="shared" si="17"/>
        <v>119032</v>
      </c>
      <c r="AT24" s="183">
        <v>98341.0</v>
      </c>
      <c r="AU24" s="183">
        <v>20691.0</v>
      </c>
      <c r="AV24" s="209">
        <f t="shared" si="18"/>
        <v>0.9058304534</v>
      </c>
      <c r="AW24" s="185">
        <v>113756.0</v>
      </c>
      <c r="AX24" s="185">
        <v>93250.0</v>
      </c>
      <c r="AY24" s="183">
        <f t="shared" si="19"/>
        <v>20506</v>
      </c>
      <c r="AZ24" s="209">
        <f t="shared" si="20"/>
        <v>0.7484432482</v>
      </c>
      <c r="BA24" s="185">
        <v>93991.0</v>
      </c>
      <c r="BB24" s="185">
        <v>73974.0</v>
      </c>
      <c r="BC24" s="185">
        <f t="shared" si="21"/>
        <v>20017</v>
      </c>
      <c r="BD24" s="508">
        <f t="shared" si="22"/>
        <v>0.6644184676</v>
      </c>
      <c r="BE24" s="185">
        <v>83439.0</v>
      </c>
      <c r="BF24" s="185">
        <v>64588.0</v>
      </c>
      <c r="BG24" s="185">
        <f t="shared" si="23"/>
        <v>18851</v>
      </c>
      <c r="BH24" s="508">
        <f t="shared" si="24"/>
        <v>0.5104155054</v>
      </c>
      <c r="BI24" s="185">
        <v>64099.0</v>
      </c>
      <c r="BJ24" s="226">
        <v>59929.0</v>
      </c>
      <c r="BK24" s="185">
        <f t="shared" si="25"/>
        <v>4170</v>
      </c>
      <c r="BL24" s="185">
        <v>46305.0</v>
      </c>
      <c r="BM24" s="185">
        <v>0.0</v>
      </c>
      <c r="BN24" s="185">
        <v>10166.0</v>
      </c>
      <c r="BO24" s="352"/>
      <c r="BP24" s="352"/>
      <c r="BR24" s="352"/>
      <c r="BS24" s="352"/>
      <c r="BT24" s="509"/>
      <c r="BU24" s="509"/>
      <c r="BV24" s="509"/>
      <c r="BW24" s="509"/>
      <c r="BX24" s="509"/>
      <c r="BY24" s="509"/>
      <c r="BZ24" s="509"/>
      <c r="CA24" s="509"/>
      <c r="CB24" s="509"/>
      <c r="CC24" s="509"/>
      <c r="CD24" s="509"/>
      <c r="CE24" s="509"/>
      <c r="CF24" s="509"/>
      <c r="CG24" s="509"/>
      <c r="CH24" s="509"/>
      <c r="CI24" s="509"/>
      <c r="CJ24" s="509"/>
      <c r="CK24" s="509"/>
      <c r="CL24" s="509"/>
    </row>
    <row r="25" ht="14.25" customHeight="1">
      <c r="A25" s="181" t="s">
        <v>150</v>
      </c>
      <c r="B25" s="182">
        <v>928.0</v>
      </c>
      <c r="C25" s="182" t="s">
        <v>172</v>
      </c>
      <c r="D25" s="183">
        <v>109605.0</v>
      </c>
      <c r="E25" s="183">
        <v>81903.0</v>
      </c>
      <c r="F25" s="511">
        <v>27702.0</v>
      </c>
      <c r="G25" s="507">
        <f t="shared" si="1"/>
        <v>0.8949682952</v>
      </c>
      <c r="H25" s="183">
        <v>98093.0</v>
      </c>
      <c r="I25" s="183">
        <v>73029.0</v>
      </c>
      <c r="J25" s="183">
        <f t="shared" si="2"/>
        <v>25064</v>
      </c>
      <c r="K25" s="185">
        <v>57242.0</v>
      </c>
      <c r="L25" s="185">
        <v>17339.0</v>
      </c>
      <c r="M25" s="190">
        <f t="shared" si="3"/>
        <v>0.6558459924</v>
      </c>
      <c r="N25" s="183">
        <v>71884.0</v>
      </c>
      <c r="O25" s="183">
        <v>49301.0</v>
      </c>
      <c r="P25" s="183">
        <f t="shared" si="4"/>
        <v>22583</v>
      </c>
      <c r="Q25" s="183">
        <v>8783.0</v>
      </c>
      <c r="R25" s="183">
        <v>5355.0</v>
      </c>
      <c r="S25" s="183">
        <f t="shared" si="5"/>
        <v>3428</v>
      </c>
      <c r="T25" s="190">
        <f t="shared" si="6"/>
        <v>0.4794763013</v>
      </c>
      <c r="U25" s="183">
        <v>52553.0</v>
      </c>
      <c r="V25" s="183">
        <v>31229.0</v>
      </c>
      <c r="W25" s="183">
        <f t="shared" si="7"/>
        <v>21324</v>
      </c>
      <c r="X25" s="274">
        <f t="shared" si="8"/>
        <v>0.9273025866</v>
      </c>
      <c r="Y25" s="183">
        <v>101637.0</v>
      </c>
      <c r="Z25" s="183">
        <v>77458.0</v>
      </c>
      <c r="AA25" s="183">
        <f t="shared" si="9"/>
        <v>24179</v>
      </c>
      <c r="AB25" s="183">
        <v>62673.0</v>
      </c>
      <c r="AC25" s="185">
        <v>16065.0</v>
      </c>
      <c r="AD25" s="190">
        <f t="shared" si="10"/>
        <v>0.7884676794</v>
      </c>
      <c r="AE25" s="183">
        <v>86420.0</v>
      </c>
      <c r="AF25" s="183">
        <v>67597.0</v>
      </c>
      <c r="AG25" s="183">
        <f t="shared" si="11"/>
        <v>18823</v>
      </c>
      <c r="AH25" s="183">
        <v>55178.0</v>
      </c>
      <c r="AI25" s="185">
        <v>12696.0</v>
      </c>
      <c r="AJ25" s="507">
        <f t="shared" si="12"/>
        <v>0.9799735414</v>
      </c>
      <c r="AK25" s="183">
        <v>107410.0</v>
      </c>
      <c r="AL25" s="183">
        <v>79954.0</v>
      </c>
      <c r="AM25" s="183">
        <f t="shared" si="13"/>
        <v>27456</v>
      </c>
      <c r="AN25" s="507">
        <f t="shared" si="14"/>
        <v>0.909356325</v>
      </c>
      <c r="AO25" s="183">
        <v>99670.0</v>
      </c>
      <c r="AP25" s="183">
        <v>73477.0</v>
      </c>
      <c r="AQ25" s="183">
        <f t="shared" si="15"/>
        <v>26193</v>
      </c>
      <c r="AR25" s="507">
        <f t="shared" si="16"/>
        <v>0.9370284202</v>
      </c>
      <c r="AS25" s="183">
        <f t="shared" si="17"/>
        <v>102703</v>
      </c>
      <c r="AT25" s="183">
        <v>75838.0</v>
      </c>
      <c r="AU25" s="183">
        <v>26865.0</v>
      </c>
      <c r="AV25" s="209">
        <f t="shared" si="18"/>
        <v>0.973486611</v>
      </c>
      <c r="AW25" s="185">
        <v>106699.0</v>
      </c>
      <c r="AX25" s="185">
        <v>79307.0</v>
      </c>
      <c r="AY25" s="183">
        <f t="shared" si="19"/>
        <v>27392</v>
      </c>
      <c r="AZ25" s="209">
        <f t="shared" si="20"/>
        <v>0.8555357876</v>
      </c>
      <c r="BA25" s="185">
        <v>93771.0</v>
      </c>
      <c r="BB25" s="185">
        <v>66631.0</v>
      </c>
      <c r="BC25" s="185">
        <f t="shared" si="21"/>
        <v>27140</v>
      </c>
      <c r="BD25" s="508">
        <f t="shared" si="22"/>
        <v>0.728762374</v>
      </c>
      <c r="BE25" s="185">
        <v>79876.0</v>
      </c>
      <c r="BF25" s="185">
        <v>55010.0</v>
      </c>
      <c r="BG25" s="185">
        <f t="shared" si="23"/>
        <v>24866</v>
      </c>
      <c r="BH25" s="508">
        <f t="shared" si="24"/>
        <v>0.7648008759</v>
      </c>
      <c r="BI25" s="185">
        <v>83826.0</v>
      </c>
      <c r="BJ25" s="226">
        <v>69613.0</v>
      </c>
      <c r="BK25" s="185">
        <f t="shared" si="25"/>
        <v>14213</v>
      </c>
      <c r="BL25" s="185">
        <v>62650.0</v>
      </c>
      <c r="BM25" s="185">
        <v>0.0</v>
      </c>
      <c r="BN25" s="185">
        <v>5456.0</v>
      </c>
      <c r="BO25" s="352"/>
      <c r="BP25" s="352"/>
      <c r="BR25" s="352"/>
      <c r="BS25" s="352"/>
      <c r="BT25" s="509"/>
      <c r="BU25" s="509"/>
      <c r="BV25" s="509"/>
      <c r="BW25" s="509"/>
      <c r="BX25" s="509"/>
      <c r="BY25" s="509"/>
      <c r="BZ25" s="509"/>
      <c r="CA25" s="509"/>
      <c r="CB25" s="509"/>
      <c r="CC25" s="509"/>
      <c r="CD25" s="509"/>
      <c r="CE25" s="509"/>
      <c r="CF25" s="509"/>
      <c r="CG25" s="509"/>
      <c r="CH25" s="509"/>
      <c r="CI25" s="509"/>
      <c r="CJ25" s="509"/>
      <c r="CK25" s="509"/>
      <c r="CL25" s="509"/>
    </row>
    <row r="26" ht="14.25" customHeight="1">
      <c r="A26" s="181" t="s">
        <v>150</v>
      </c>
      <c r="B26" s="182">
        <v>741.0</v>
      </c>
      <c r="C26" s="182" t="s">
        <v>173</v>
      </c>
      <c r="D26" s="183">
        <v>4617.0</v>
      </c>
      <c r="E26" s="183">
        <v>3989.0</v>
      </c>
      <c r="F26" s="183">
        <v>628.0</v>
      </c>
      <c r="G26" s="507">
        <f t="shared" si="1"/>
        <v>0.214858133</v>
      </c>
      <c r="H26" s="183">
        <v>992.0</v>
      </c>
      <c r="I26" s="183">
        <v>719.0</v>
      </c>
      <c r="J26" s="183">
        <f t="shared" si="2"/>
        <v>273</v>
      </c>
      <c r="K26" s="185">
        <v>204.0</v>
      </c>
      <c r="L26" s="185">
        <v>708.0</v>
      </c>
      <c r="M26" s="190">
        <f t="shared" si="3"/>
        <v>0.2200563136</v>
      </c>
      <c r="N26" s="183">
        <v>1016.0</v>
      </c>
      <c r="O26" s="183">
        <v>758.0</v>
      </c>
      <c r="P26" s="183">
        <f t="shared" si="4"/>
        <v>258</v>
      </c>
      <c r="Q26" s="183">
        <v>404.0</v>
      </c>
      <c r="R26" s="183">
        <v>313.0</v>
      </c>
      <c r="S26" s="183">
        <f t="shared" si="5"/>
        <v>91</v>
      </c>
      <c r="T26" s="190">
        <f t="shared" si="6"/>
        <v>0.2306692658</v>
      </c>
      <c r="U26" s="183">
        <v>1065.0</v>
      </c>
      <c r="V26" s="183">
        <v>811.0</v>
      </c>
      <c r="W26" s="183">
        <f t="shared" si="7"/>
        <v>254</v>
      </c>
      <c r="X26" s="274">
        <f t="shared" si="8"/>
        <v>0.49620966</v>
      </c>
      <c r="Y26" s="183">
        <v>2291.0</v>
      </c>
      <c r="Z26" s="183">
        <v>2003.0</v>
      </c>
      <c r="AA26" s="183">
        <f t="shared" si="9"/>
        <v>288</v>
      </c>
      <c r="AB26" s="183">
        <v>1389.0</v>
      </c>
      <c r="AC26" s="185">
        <v>180.0</v>
      </c>
      <c r="AD26" s="190">
        <f t="shared" si="10"/>
        <v>0.3640892354</v>
      </c>
      <c r="AE26" s="183">
        <v>1681.0</v>
      </c>
      <c r="AF26" s="183">
        <v>1455.0</v>
      </c>
      <c r="AG26" s="183">
        <f t="shared" si="11"/>
        <v>226</v>
      </c>
      <c r="AH26" s="183">
        <v>1062.0</v>
      </c>
      <c r="AI26" s="185">
        <v>104.0</v>
      </c>
      <c r="AJ26" s="507">
        <f t="shared" si="12"/>
        <v>0.9835390947</v>
      </c>
      <c r="AK26" s="183">
        <v>4541.0</v>
      </c>
      <c r="AL26" s="183">
        <v>3917.0</v>
      </c>
      <c r="AM26" s="183">
        <f t="shared" si="13"/>
        <v>624</v>
      </c>
      <c r="AN26" s="507">
        <f t="shared" si="14"/>
        <v>0.7478882391</v>
      </c>
      <c r="AO26" s="183">
        <v>3453.0</v>
      </c>
      <c r="AP26" s="183">
        <v>2952.0</v>
      </c>
      <c r="AQ26" s="183">
        <f t="shared" si="15"/>
        <v>501</v>
      </c>
      <c r="AR26" s="507">
        <f t="shared" si="16"/>
        <v>0.752653238</v>
      </c>
      <c r="AS26" s="183">
        <f t="shared" si="17"/>
        <v>3475</v>
      </c>
      <c r="AT26" s="183">
        <v>2975.0</v>
      </c>
      <c r="AU26" s="183">
        <v>500.0</v>
      </c>
      <c r="AV26" s="209">
        <f t="shared" si="18"/>
        <v>0.8674463938</v>
      </c>
      <c r="AW26" s="185">
        <v>4005.0</v>
      </c>
      <c r="AX26" s="185">
        <v>3387.0</v>
      </c>
      <c r="AY26" s="183">
        <f t="shared" si="19"/>
        <v>618</v>
      </c>
      <c r="AZ26" s="209">
        <f t="shared" si="20"/>
        <v>0.5449426034</v>
      </c>
      <c r="BA26" s="185">
        <v>2516.0</v>
      </c>
      <c r="BB26" s="185">
        <v>2031.0</v>
      </c>
      <c r="BC26" s="185">
        <f t="shared" si="21"/>
        <v>485</v>
      </c>
      <c r="BD26" s="508">
        <f t="shared" si="22"/>
        <v>0.3985271822</v>
      </c>
      <c r="BE26" s="185">
        <v>1840.0</v>
      </c>
      <c r="BF26" s="185">
        <v>1537.0</v>
      </c>
      <c r="BG26" s="185">
        <f t="shared" si="23"/>
        <v>303</v>
      </c>
      <c r="BH26" s="508">
        <f t="shared" si="24"/>
        <v>0.5161360191</v>
      </c>
      <c r="BI26" s="185">
        <v>2383.0</v>
      </c>
      <c r="BJ26" s="226">
        <v>2128.0</v>
      </c>
      <c r="BK26" s="185">
        <f t="shared" si="25"/>
        <v>255</v>
      </c>
      <c r="BL26" s="185">
        <v>1322.0</v>
      </c>
      <c r="BM26" s="185">
        <v>0.0</v>
      </c>
      <c r="BN26" s="185">
        <v>98.0</v>
      </c>
      <c r="BO26" s="352"/>
      <c r="BP26" s="352"/>
      <c r="BR26" s="352"/>
      <c r="BS26" s="352"/>
      <c r="BT26" s="509"/>
      <c r="BU26" s="509"/>
      <c r="BV26" s="509"/>
      <c r="BW26" s="509"/>
      <c r="BX26" s="509"/>
      <c r="BY26" s="509"/>
      <c r="BZ26" s="509"/>
      <c r="CA26" s="509"/>
      <c r="CB26" s="509"/>
      <c r="CC26" s="509"/>
      <c r="CD26" s="509"/>
      <c r="CE26" s="509"/>
      <c r="CF26" s="509"/>
      <c r="CG26" s="509"/>
      <c r="CH26" s="509"/>
      <c r="CI26" s="509"/>
      <c r="CJ26" s="509"/>
      <c r="CK26" s="509"/>
      <c r="CL26" s="509"/>
    </row>
    <row r="27" ht="14.25" customHeight="1">
      <c r="A27" s="181" t="s">
        <v>155</v>
      </c>
      <c r="B27" s="182">
        <v>716.0</v>
      </c>
      <c r="C27" s="182" t="s">
        <v>174</v>
      </c>
      <c r="D27" s="183">
        <v>14600.0</v>
      </c>
      <c r="E27" s="183">
        <v>13545.0</v>
      </c>
      <c r="F27" s="183">
        <v>1055.0</v>
      </c>
      <c r="G27" s="507">
        <f t="shared" si="1"/>
        <v>0.1241780822</v>
      </c>
      <c r="H27" s="183">
        <v>1813.0</v>
      </c>
      <c r="I27" s="183">
        <v>1539.0</v>
      </c>
      <c r="J27" s="183">
        <f t="shared" si="2"/>
        <v>274</v>
      </c>
      <c r="K27" s="185">
        <v>858.0</v>
      </c>
      <c r="L27" s="185">
        <v>308.0</v>
      </c>
      <c r="M27" s="190">
        <f t="shared" si="3"/>
        <v>0.1320547945</v>
      </c>
      <c r="N27" s="183">
        <v>1928.0</v>
      </c>
      <c r="O27" s="183">
        <v>1487.0</v>
      </c>
      <c r="P27" s="183">
        <f t="shared" si="4"/>
        <v>441</v>
      </c>
      <c r="Q27" s="183">
        <v>327.0</v>
      </c>
      <c r="R27" s="183">
        <v>239.0</v>
      </c>
      <c r="S27" s="183">
        <f t="shared" si="5"/>
        <v>88</v>
      </c>
      <c r="T27" s="190">
        <f t="shared" si="6"/>
        <v>0.1684931507</v>
      </c>
      <c r="U27" s="183">
        <v>2460.0</v>
      </c>
      <c r="V27" s="183">
        <v>2061.0</v>
      </c>
      <c r="W27" s="183">
        <f t="shared" si="7"/>
        <v>399</v>
      </c>
      <c r="X27" s="274">
        <f t="shared" si="8"/>
        <v>0.3038356164</v>
      </c>
      <c r="Y27" s="183">
        <v>4436.0</v>
      </c>
      <c r="Z27" s="183">
        <v>4174.0</v>
      </c>
      <c r="AA27" s="183">
        <f t="shared" si="9"/>
        <v>262</v>
      </c>
      <c r="AB27" s="183">
        <v>3450.0</v>
      </c>
      <c r="AC27" s="185">
        <v>229.0</v>
      </c>
      <c r="AD27" s="190">
        <f t="shared" si="10"/>
        <v>0.212260274</v>
      </c>
      <c r="AE27" s="183">
        <v>3099.0</v>
      </c>
      <c r="AF27" s="183">
        <v>2919.0</v>
      </c>
      <c r="AG27" s="183">
        <f t="shared" si="11"/>
        <v>180</v>
      </c>
      <c r="AH27" s="183">
        <v>2576.0</v>
      </c>
      <c r="AI27" s="185">
        <v>134.0</v>
      </c>
      <c r="AJ27" s="507">
        <f t="shared" si="12"/>
        <v>0.4602739726</v>
      </c>
      <c r="AK27" s="183">
        <v>6720.0</v>
      </c>
      <c r="AL27" s="183">
        <v>6011.0</v>
      </c>
      <c r="AM27" s="183">
        <f t="shared" si="13"/>
        <v>709</v>
      </c>
      <c r="AN27" s="507">
        <f t="shared" si="14"/>
        <v>0.7306849315</v>
      </c>
      <c r="AO27" s="183">
        <v>10668.0</v>
      </c>
      <c r="AP27" s="183">
        <v>9782.0</v>
      </c>
      <c r="AQ27" s="183">
        <f t="shared" si="15"/>
        <v>886</v>
      </c>
      <c r="AR27" s="507">
        <f t="shared" si="16"/>
        <v>0.6960958904</v>
      </c>
      <c r="AS27" s="183">
        <f t="shared" si="17"/>
        <v>10163</v>
      </c>
      <c r="AT27" s="183">
        <v>9280.0</v>
      </c>
      <c r="AU27" s="183">
        <v>883.0</v>
      </c>
      <c r="AV27" s="209">
        <f t="shared" si="18"/>
        <v>0.6328767123</v>
      </c>
      <c r="AW27" s="185">
        <v>9240.0</v>
      </c>
      <c r="AX27" s="185">
        <v>8289.0</v>
      </c>
      <c r="AY27" s="183">
        <f t="shared" si="19"/>
        <v>951</v>
      </c>
      <c r="AZ27" s="209">
        <f t="shared" si="20"/>
        <v>0.2466438356</v>
      </c>
      <c r="BA27" s="185">
        <v>3601.0</v>
      </c>
      <c r="BB27" s="185">
        <v>2930.0</v>
      </c>
      <c r="BC27" s="185">
        <f t="shared" si="21"/>
        <v>671</v>
      </c>
      <c r="BD27" s="508">
        <f t="shared" si="22"/>
        <v>0.3382191781</v>
      </c>
      <c r="BE27" s="185">
        <v>4938.0</v>
      </c>
      <c r="BF27" s="185">
        <v>4380.0</v>
      </c>
      <c r="BG27" s="185">
        <f t="shared" si="23"/>
        <v>558</v>
      </c>
      <c r="BH27" s="508">
        <f t="shared" si="24"/>
        <v>0.6793150685</v>
      </c>
      <c r="BI27" s="185">
        <v>9918.0</v>
      </c>
      <c r="BJ27" s="226">
        <v>9440.0</v>
      </c>
      <c r="BK27" s="185">
        <f t="shared" si="25"/>
        <v>478</v>
      </c>
      <c r="BL27" s="185">
        <v>6586.0</v>
      </c>
      <c r="BM27" s="185">
        <v>0.0</v>
      </c>
      <c r="BN27" s="185">
        <v>938.0</v>
      </c>
      <c r="BO27" s="352"/>
      <c r="BP27" s="352"/>
      <c r="BR27" s="352"/>
      <c r="BS27" s="352"/>
      <c r="BT27" s="509"/>
      <c r="BU27" s="509"/>
      <c r="BV27" s="509"/>
      <c r="BW27" s="509"/>
      <c r="BX27" s="509"/>
      <c r="BY27" s="509"/>
      <c r="BZ27" s="509"/>
      <c r="CA27" s="509"/>
      <c r="CB27" s="509"/>
      <c r="CC27" s="509"/>
      <c r="CD27" s="509"/>
      <c r="CE27" s="509"/>
      <c r="CF27" s="509"/>
      <c r="CG27" s="509"/>
      <c r="CH27" s="509"/>
      <c r="CI27" s="509"/>
      <c r="CJ27" s="509"/>
      <c r="CK27" s="509"/>
      <c r="CL27" s="509"/>
    </row>
    <row r="28" ht="14.25" customHeight="1">
      <c r="A28" s="181" t="s">
        <v>150</v>
      </c>
      <c r="B28" s="182">
        <v>765.0</v>
      </c>
      <c r="C28" s="182" t="s">
        <v>175</v>
      </c>
      <c r="D28" s="183">
        <v>3911.0</v>
      </c>
      <c r="E28" s="183">
        <v>2646.0</v>
      </c>
      <c r="F28" s="183">
        <v>1265.0</v>
      </c>
      <c r="G28" s="507">
        <f t="shared" si="1"/>
        <v>0.5382255178</v>
      </c>
      <c r="H28" s="183">
        <v>2105.0</v>
      </c>
      <c r="I28" s="183">
        <v>1525.0</v>
      </c>
      <c r="J28" s="183">
        <f t="shared" si="2"/>
        <v>580</v>
      </c>
      <c r="K28" s="185">
        <v>1781.0</v>
      </c>
      <c r="L28" s="185">
        <v>195.0</v>
      </c>
      <c r="M28" s="190">
        <f t="shared" si="3"/>
        <v>0.2168243416</v>
      </c>
      <c r="N28" s="183">
        <v>848.0</v>
      </c>
      <c r="O28" s="183">
        <v>443.0</v>
      </c>
      <c r="P28" s="183">
        <f t="shared" si="4"/>
        <v>405</v>
      </c>
      <c r="Q28" s="183">
        <v>89.0</v>
      </c>
      <c r="R28" s="183">
        <v>42.0</v>
      </c>
      <c r="S28" s="183">
        <f t="shared" si="5"/>
        <v>47</v>
      </c>
      <c r="T28" s="190">
        <f t="shared" si="6"/>
        <v>0.0784965482</v>
      </c>
      <c r="U28" s="183">
        <v>307.0</v>
      </c>
      <c r="V28" s="183">
        <v>143.0</v>
      </c>
      <c r="W28" s="183">
        <f t="shared" si="7"/>
        <v>164</v>
      </c>
      <c r="X28" s="274">
        <f t="shared" si="8"/>
        <v>0.4428534902</v>
      </c>
      <c r="Y28" s="183">
        <v>1732.0</v>
      </c>
      <c r="Z28" s="183">
        <v>1147.0</v>
      </c>
      <c r="AA28" s="183">
        <f t="shared" si="9"/>
        <v>585</v>
      </c>
      <c r="AB28" s="183">
        <v>1532.0</v>
      </c>
      <c r="AC28" s="185">
        <v>123.0</v>
      </c>
      <c r="AD28" s="190">
        <f t="shared" si="10"/>
        <v>0.1897212989</v>
      </c>
      <c r="AE28" s="183">
        <v>742.0</v>
      </c>
      <c r="AF28" s="183">
        <v>517.0</v>
      </c>
      <c r="AG28" s="183">
        <f t="shared" si="11"/>
        <v>225</v>
      </c>
      <c r="AH28" s="183">
        <v>671.0</v>
      </c>
      <c r="AI28" s="185">
        <v>44.0</v>
      </c>
      <c r="AJ28" s="507">
        <f t="shared" si="12"/>
        <v>0.9020710816</v>
      </c>
      <c r="AK28" s="183">
        <v>3528.0</v>
      </c>
      <c r="AL28" s="183">
        <v>2281.0</v>
      </c>
      <c r="AM28" s="183">
        <f t="shared" si="13"/>
        <v>1247</v>
      </c>
      <c r="AN28" s="507">
        <f t="shared" si="14"/>
        <v>0.8698542572</v>
      </c>
      <c r="AO28" s="183">
        <v>3402.0</v>
      </c>
      <c r="AP28" s="183">
        <v>2210.0</v>
      </c>
      <c r="AQ28" s="183">
        <f t="shared" si="15"/>
        <v>1192</v>
      </c>
      <c r="AR28" s="507">
        <f t="shared" si="16"/>
        <v>0.8683201227</v>
      </c>
      <c r="AS28" s="183">
        <f t="shared" si="17"/>
        <v>3396</v>
      </c>
      <c r="AT28" s="183">
        <v>2209.0</v>
      </c>
      <c r="AU28" s="183">
        <v>1187.0</v>
      </c>
      <c r="AV28" s="209">
        <f t="shared" si="18"/>
        <v>0.9301968806</v>
      </c>
      <c r="AW28" s="185">
        <v>3638.0</v>
      </c>
      <c r="AX28" s="185">
        <v>2391.0</v>
      </c>
      <c r="AY28" s="183">
        <f t="shared" si="19"/>
        <v>1247</v>
      </c>
      <c r="AZ28" s="209">
        <f t="shared" si="20"/>
        <v>0.7962158016</v>
      </c>
      <c r="BA28" s="185">
        <v>3114.0</v>
      </c>
      <c r="BB28" s="185">
        <v>1879.0</v>
      </c>
      <c r="BC28" s="185">
        <f t="shared" si="21"/>
        <v>1235</v>
      </c>
      <c r="BD28" s="508">
        <f t="shared" si="22"/>
        <v>0.3968294554</v>
      </c>
      <c r="BE28" s="185">
        <v>1552.0</v>
      </c>
      <c r="BF28" s="185">
        <v>900.0</v>
      </c>
      <c r="BG28" s="185">
        <f t="shared" si="23"/>
        <v>652</v>
      </c>
      <c r="BH28" s="508">
        <f t="shared" si="24"/>
        <v>0.6428023523</v>
      </c>
      <c r="BI28" s="185">
        <v>2514.0</v>
      </c>
      <c r="BJ28" s="226">
        <v>1863.0</v>
      </c>
      <c r="BK28" s="185">
        <f t="shared" si="25"/>
        <v>651</v>
      </c>
      <c r="BL28" s="185">
        <v>2305.0</v>
      </c>
      <c r="BM28" s="185">
        <v>0.0</v>
      </c>
      <c r="BN28" s="185">
        <v>40.0</v>
      </c>
      <c r="BO28" s="352"/>
      <c r="BP28" s="352"/>
      <c r="BR28" s="352"/>
      <c r="BS28" s="352"/>
      <c r="BT28" s="509"/>
      <c r="BU28" s="509"/>
      <c r="BV28" s="509"/>
      <c r="BW28" s="509"/>
      <c r="BX28" s="509"/>
      <c r="BY28" s="509"/>
      <c r="BZ28" s="509"/>
      <c r="CA28" s="509"/>
      <c r="CB28" s="509"/>
      <c r="CC28" s="509"/>
      <c r="CD28" s="509"/>
      <c r="CE28" s="509"/>
      <c r="CF28" s="509"/>
      <c r="CG28" s="509"/>
      <c r="CH28" s="509"/>
      <c r="CI28" s="509"/>
      <c r="CJ28" s="509"/>
      <c r="CK28" s="509"/>
      <c r="CL28" s="509"/>
    </row>
    <row r="29" ht="14.25" customHeight="1">
      <c r="A29" s="181" t="s">
        <v>150</v>
      </c>
      <c r="B29" s="182">
        <v>728.0</v>
      </c>
      <c r="C29" s="182" t="s">
        <v>176</v>
      </c>
      <c r="D29" s="183">
        <v>2718.0</v>
      </c>
      <c r="E29" s="183">
        <v>2182.0</v>
      </c>
      <c r="F29" s="183">
        <v>536.0</v>
      </c>
      <c r="G29" s="507">
        <f t="shared" si="1"/>
        <v>0.6596762325</v>
      </c>
      <c r="H29" s="183">
        <v>1793.0</v>
      </c>
      <c r="I29" s="183">
        <v>1426.0</v>
      </c>
      <c r="J29" s="183">
        <f t="shared" si="2"/>
        <v>367</v>
      </c>
      <c r="K29" s="185">
        <v>1387.0</v>
      </c>
      <c r="L29" s="185">
        <v>385.0</v>
      </c>
      <c r="M29" s="190">
        <f t="shared" si="3"/>
        <v>0.397718911</v>
      </c>
      <c r="N29" s="183">
        <v>1081.0</v>
      </c>
      <c r="O29" s="183">
        <v>709.0</v>
      </c>
      <c r="P29" s="183">
        <f t="shared" si="4"/>
        <v>372</v>
      </c>
      <c r="Q29" s="183">
        <v>209.0</v>
      </c>
      <c r="R29" s="183">
        <v>128.0</v>
      </c>
      <c r="S29" s="183">
        <f t="shared" si="5"/>
        <v>81</v>
      </c>
      <c r="T29" s="190">
        <f t="shared" si="6"/>
        <v>0.5088300221</v>
      </c>
      <c r="U29" s="183">
        <v>1383.0</v>
      </c>
      <c r="V29" s="183">
        <v>1022.0</v>
      </c>
      <c r="W29" s="183">
        <f t="shared" si="7"/>
        <v>361</v>
      </c>
      <c r="X29" s="274">
        <f t="shared" si="8"/>
        <v>0.3785871965</v>
      </c>
      <c r="Y29" s="183">
        <v>1029.0</v>
      </c>
      <c r="Z29" s="183">
        <v>874.0</v>
      </c>
      <c r="AA29" s="183">
        <f t="shared" si="9"/>
        <v>155</v>
      </c>
      <c r="AB29" s="183">
        <v>897.0</v>
      </c>
      <c r="AC29" s="185">
        <v>118.0</v>
      </c>
      <c r="AD29" s="190">
        <f t="shared" si="10"/>
        <v>0.1640912436</v>
      </c>
      <c r="AE29" s="183">
        <v>446.0</v>
      </c>
      <c r="AF29" s="183">
        <v>377.0</v>
      </c>
      <c r="AG29" s="183">
        <f t="shared" si="11"/>
        <v>69</v>
      </c>
      <c r="AH29" s="183">
        <v>392.0</v>
      </c>
      <c r="AI29" s="185">
        <v>46.0</v>
      </c>
      <c r="AJ29" s="507">
        <f t="shared" si="12"/>
        <v>0.6055923473</v>
      </c>
      <c r="AK29" s="183">
        <v>1646.0</v>
      </c>
      <c r="AL29" s="183">
        <v>1234.0</v>
      </c>
      <c r="AM29" s="183">
        <f t="shared" si="13"/>
        <v>412</v>
      </c>
      <c r="AN29" s="507">
        <f t="shared" si="14"/>
        <v>0.7619573216</v>
      </c>
      <c r="AO29" s="183">
        <v>2071.0</v>
      </c>
      <c r="AP29" s="183">
        <v>1586.0</v>
      </c>
      <c r="AQ29" s="183">
        <f t="shared" si="15"/>
        <v>485</v>
      </c>
      <c r="AR29" s="507">
        <f t="shared" si="16"/>
        <v>0.7707873436</v>
      </c>
      <c r="AS29" s="183">
        <f t="shared" si="17"/>
        <v>2095</v>
      </c>
      <c r="AT29" s="183">
        <v>1600.0</v>
      </c>
      <c r="AU29" s="183">
        <v>495.0</v>
      </c>
      <c r="AV29" s="209">
        <f t="shared" si="18"/>
        <v>0.8267108168</v>
      </c>
      <c r="AW29" s="185">
        <v>2247.0</v>
      </c>
      <c r="AX29" s="185">
        <v>1740.0</v>
      </c>
      <c r="AY29" s="183">
        <f t="shared" si="19"/>
        <v>507</v>
      </c>
      <c r="AZ29" s="209">
        <f t="shared" si="20"/>
        <v>0.6710816777</v>
      </c>
      <c r="BA29" s="185">
        <v>1824.0</v>
      </c>
      <c r="BB29" s="185">
        <v>1353.0</v>
      </c>
      <c r="BC29" s="185">
        <f t="shared" si="21"/>
        <v>471</v>
      </c>
      <c r="BD29" s="508">
        <f t="shared" si="22"/>
        <v>0.3517292127</v>
      </c>
      <c r="BE29" s="185">
        <v>956.0</v>
      </c>
      <c r="BF29" s="185">
        <v>624.0</v>
      </c>
      <c r="BG29" s="185">
        <f t="shared" si="23"/>
        <v>332</v>
      </c>
      <c r="BH29" s="508">
        <f t="shared" si="24"/>
        <v>0.5515084621</v>
      </c>
      <c r="BI29" s="185">
        <v>1499.0</v>
      </c>
      <c r="BJ29" s="226">
        <v>1330.0</v>
      </c>
      <c r="BK29" s="185">
        <f t="shared" si="25"/>
        <v>169</v>
      </c>
      <c r="BL29" s="185">
        <v>1492.0</v>
      </c>
      <c r="BM29" s="185">
        <v>0.0</v>
      </c>
      <c r="BN29" s="185">
        <v>16.0</v>
      </c>
      <c r="BO29" s="352"/>
      <c r="BP29" s="352"/>
      <c r="BR29" s="352"/>
      <c r="BS29" s="352"/>
      <c r="BT29" s="509"/>
      <c r="BU29" s="509"/>
      <c r="BV29" s="509"/>
      <c r="BW29" s="509"/>
      <c r="BX29" s="509"/>
      <c r="BY29" s="509"/>
      <c r="BZ29" s="509"/>
      <c r="CA29" s="509"/>
      <c r="CB29" s="509"/>
      <c r="CC29" s="509"/>
      <c r="CD29" s="509"/>
      <c r="CE29" s="509"/>
      <c r="CF29" s="509"/>
      <c r="CG29" s="509"/>
      <c r="CH29" s="509"/>
      <c r="CI29" s="509"/>
      <c r="CJ29" s="509"/>
      <c r="CK29" s="509"/>
      <c r="CL29" s="509"/>
    </row>
    <row r="30" ht="14.25" customHeight="1">
      <c r="A30" s="181" t="s">
        <v>153</v>
      </c>
      <c r="B30" s="182">
        <v>877.0</v>
      </c>
      <c r="C30" s="182" t="s">
        <v>177</v>
      </c>
      <c r="D30" s="183">
        <v>62291.0</v>
      </c>
      <c r="E30" s="183">
        <v>57186.0</v>
      </c>
      <c r="F30" s="183">
        <v>5105.0</v>
      </c>
      <c r="G30" s="507">
        <f t="shared" si="1"/>
        <v>0.9224446549</v>
      </c>
      <c r="H30" s="183">
        <v>57460.0</v>
      </c>
      <c r="I30" s="183">
        <v>52762.0</v>
      </c>
      <c r="J30" s="183">
        <f t="shared" si="2"/>
        <v>4698</v>
      </c>
      <c r="K30" s="185">
        <v>43610.0</v>
      </c>
      <c r="L30" s="185">
        <v>5795.0</v>
      </c>
      <c r="M30" s="190">
        <f t="shared" si="3"/>
        <v>0.1834936026</v>
      </c>
      <c r="N30" s="183">
        <v>11430.0</v>
      </c>
      <c r="O30" s="183">
        <v>9029.0</v>
      </c>
      <c r="P30" s="183">
        <f t="shared" si="4"/>
        <v>2401</v>
      </c>
      <c r="Q30" s="183">
        <v>3531.0</v>
      </c>
      <c r="R30" s="183">
        <v>2961.0</v>
      </c>
      <c r="S30" s="183">
        <f t="shared" si="5"/>
        <v>570</v>
      </c>
      <c r="T30" s="190">
        <f t="shared" si="6"/>
        <v>0.1490423978</v>
      </c>
      <c r="U30" s="183">
        <v>9284.0</v>
      </c>
      <c r="V30" s="183">
        <v>7031.0</v>
      </c>
      <c r="W30" s="183">
        <f t="shared" si="7"/>
        <v>2253</v>
      </c>
      <c r="X30" s="274">
        <f t="shared" si="8"/>
        <v>0.8047390474</v>
      </c>
      <c r="Y30" s="183">
        <v>50128.0</v>
      </c>
      <c r="Z30" s="183">
        <v>46109.0</v>
      </c>
      <c r="AA30" s="183">
        <f t="shared" si="9"/>
        <v>4019</v>
      </c>
      <c r="AB30" s="183">
        <v>40868.0</v>
      </c>
      <c r="AC30" s="185">
        <v>4609.0</v>
      </c>
      <c r="AD30" s="190">
        <f t="shared" si="10"/>
        <v>0.6948836911</v>
      </c>
      <c r="AE30" s="183">
        <v>43285.0</v>
      </c>
      <c r="AF30" s="183">
        <v>39834.0</v>
      </c>
      <c r="AG30" s="183">
        <f t="shared" si="11"/>
        <v>3451</v>
      </c>
      <c r="AH30" s="183">
        <v>35510.0</v>
      </c>
      <c r="AI30" s="185">
        <v>3969.0</v>
      </c>
      <c r="AJ30" s="507">
        <f t="shared" si="12"/>
        <v>0.9701080413</v>
      </c>
      <c r="AK30" s="183">
        <v>60429.0</v>
      </c>
      <c r="AL30" s="183">
        <v>55451.0</v>
      </c>
      <c r="AM30" s="183">
        <f t="shared" si="13"/>
        <v>4978</v>
      </c>
      <c r="AN30" s="507">
        <f t="shared" si="14"/>
        <v>0.8763866369</v>
      </c>
      <c r="AO30" s="183">
        <v>54591.0</v>
      </c>
      <c r="AP30" s="183">
        <v>50013.0</v>
      </c>
      <c r="AQ30" s="183">
        <f t="shared" si="15"/>
        <v>4578</v>
      </c>
      <c r="AR30" s="507">
        <f t="shared" si="16"/>
        <v>0.9012698464</v>
      </c>
      <c r="AS30" s="183">
        <f t="shared" si="17"/>
        <v>56141</v>
      </c>
      <c r="AT30" s="183">
        <v>51311.0</v>
      </c>
      <c r="AU30" s="183">
        <v>4830.0</v>
      </c>
      <c r="AV30" s="209">
        <f t="shared" si="18"/>
        <v>0.9733829927</v>
      </c>
      <c r="AW30" s="185">
        <v>60633.0</v>
      </c>
      <c r="AX30" s="185">
        <v>55602.0</v>
      </c>
      <c r="AY30" s="183">
        <f t="shared" si="19"/>
        <v>5031</v>
      </c>
      <c r="AZ30" s="209">
        <f t="shared" si="20"/>
        <v>0.7665152269</v>
      </c>
      <c r="BA30" s="185">
        <v>47747.0</v>
      </c>
      <c r="BB30" s="185">
        <v>43104.0</v>
      </c>
      <c r="BC30" s="185">
        <f t="shared" si="21"/>
        <v>4643</v>
      </c>
      <c r="BD30" s="508">
        <f t="shared" si="22"/>
        <v>0.5868584547</v>
      </c>
      <c r="BE30" s="185">
        <v>36556.0</v>
      </c>
      <c r="BF30" s="185">
        <v>32896.0</v>
      </c>
      <c r="BG30" s="185">
        <f t="shared" si="23"/>
        <v>3660</v>
      </c>
      <c r="BH30" s="508">
        <f t="shared" si="24"/>
        <v>0.6438008701</v>
      </c>
      <c r="BI30" s="185">
        <v>40103.0</v>
      </c>
      <c r="BJ30" s="226">
        <v>38002.0</v>
      </c>
      <c r="BK30" s="185">
        <f t="shared" si="25"/>
        <v>2101</v>
      </c>
      <c r="BL30" s="185">
        <v>34715.0</v>
      </c>
      <c r="BM30" s="185">
        <v>0.0</v>
      </c>
      <c r="BN30" s="185">
        <v>2085.0</v>
      </c>
      <c r="BO30" s="352"/>
      <c r="BP30" s="352"/>
      <c r="BR30" s="352"/>
      <c r="BS30" s="352"/>
      <c r="BT30" s="509"/>
      <c r="BU30" s="509"/>
      <c r="BV30" s="509"/>
      <c r="BW30" s="509"/>
      <c r="BX30" s="509"/>
      <c r="BY30" s="509"/>
      <c r="BZ30" s="509"/>
      <c r="CA30" s="509"/>
      <c r="CB30" s="509"/>
      <c r="CC30" s="509"/>
      <c r="CD30" s="509"/>
      <c r="CE30" s="509"/>
      <c r="CF30" s="509"/>
      <c r="CG30" s="509"/>
      <c r="CH30" s="509"/>
      <c r="CI30" s="509"/>
      <c r="CJ30" s="509"/>
      <c r="CK30" s="509"/>
      <c r="CL30" s="509"/>
    </row>
    <row r="31" ht="14.25" customHeight="1">
      <c r="A31" s="181" t="s">
        <v>159</v>
      </c>
      <c r="B31" s="182">
        <v>897.0</v>
      </c>
      <c r="C31" s="182" t="s">
        <v>178</v>
      </c>
      <c r="D31" s="183">
        <v>736.0</v>
      </c>
      <c r="E31" s="183">
        <v>394.0</v>
      </c>
      <c r="F31" s="183">
        <v>342.0</v>
      </c>
      <c r="G31" s="507">
        <f t="shared" si="1"/>
        <v>0.995923913</v>
      </c>
      <c r="H31" s="183">
        <v>733.0</v>
      </c>
      <c r="I31" s="183">
        <v>393.0</v>
      </c>
      <c r="J31" s="183">
        <f t="shared" si="2"/>
        <v>340</v>
      </c>
      <c r="K31" s="185">
        <v>412.0</v>
      </c>
      <c r="L31" s="185">
        <v>279.0</v>
      </c>
      <c r="M31" s="190">
        <f t="shared" si="3"/>
        <v>0.9008152174</v>
      </c>
      <c r="N31" s="183">
        <v>663.0</v>
      </c>
      <c r="O31" s="183">
        <v>359.0</v>
      </c>
      <c r="P31" s="183">
        <f t="shared" si="4"/>
        <v>304</v>
      </c>
      <c r="Q31" s="183">
        <v>243.0</v>
      </c>
      <c r="R31" s="183">
        <v>121.0</v>
      </c>
      <c r="S31" s="183">
        <f t="shared" si="5"/>
        <v>122</v>
      </c>
      <c r="T31" s="190">
        <f t="shared" si="6"/>
        <v>0.9836956522</v>
      </c>
      <c r="U31" s="183">
        <v>724.0</v>
      </c>
      <c r="V31" s="183">
        <v>387.0</v>
      </c>
      <c r="W31" s="183">
        <f t="shared" si="7"/>
        <v>337</v>
      </c>
      <c r="X31" s="274">
        <f t="shared" si="8"/>
        <v>0.6535326087</v>
      </c>
      <c r="Y31" s="183">
        <v>481.0</v>
      </c>
      <c r="Z31" s="183">
        <v>272.0</v>
      </c>
      <c r="AA31" s="183">
        <f t="shared" si="9"/>
        <v>209</v>
      </c>
      <c r="AB31" s="183">
        <v>379.0</v>
      </c>
      <c r="AC31" s="185">
        <v>88.0</v>
      </c>
      <c r="AD31" s="190">
        <f t="shared" si="10"/>
        <v>0.5788043478</v>
      </c>
      <c r="AE31" s="183">
        <v>426.0</v>
      </c>
      <c r="AF31" s="183">
        <v>238.0</v>
      </c>
      <c r="AG31" s="183">
        <f t="shared" si="11"/>
        <v>188</v>
      </c>
      <c r="AH31" s="183">
        <v>353.0</v>
      </c>
      <c r="AI31" s="185">
        <v>60.0</v>
      </c>
      <c r="AJ31" s="507">
        <f t="shared" si="12"/>
        <v>1</v>
      </c>
      <c r="AK31" s="183">
        <v>736.0</v>
      </c>
      <c r="AL31" s="183">
        <v>394.0</v>
      </c>
      <c r="AM31" s="183">
        <f t="shared" si="13"/>
        <v>342</v>
      </c>
      <c r="AN31" s="507">
        <f t="shared" si="14"/>
        <v>0.9551630435</v>
      </c>
      <c r="AO31" s="183">
        <v>703.0</v>
      </c>
      <c r="AP31" s="183">
        <v>385.0</v>
      </c>
      <c r="AQ31" s="183">
        <f t="shared" si="15"/>
        <v>318</v>
      </c>
      <c r="AR31" s="507">
        <f t="shared" si="16"/>
        <v>0.964673913</v>
      </c>
      <c r="AS31" s="183">
        <f t="shared" si="17"/>
        <v>710</v>
      </c>
      <c r="AT31" s="183">
        <v>387.0</v>
      </c>
      <c r="AU31" s="183">
        <v>323.0</v>
      </c>
      <c r="AV31" s="209">
        <f t="shared" si="18"/>
        <v>0.9945652174</v>
      </c>
      <c r="AW31" s="185">
        <v>732.0</v>
      </c>
      <c r="AX31" s="185">
        <v>392.0</v>
      </c>
      <c r="AY31" s="183">
        <f t="shared" si="19"/>
        <v>340</v>
      </c>
      <c r="AZ31" s="209">
        <f t="shared" si="20"/>
        <v>1</v>
      </c>
      <c r="BA31" s="185">
        <v>736.0</v>
      </c>
      <c r="BB31" s="185">
        <v>394.0</v>
      </c>
      <c r="BC31" s="185">
        <f t="shared" si="21"/>
        <v>342</v>
      </c>
      <c r="BD31" s="508">
        <f t="shared" si="22"/>
        <v>0.8220108696</v>
      </c>
      <c r="BE31" s="185">
        <v>605.0</v>
      </c>
      <c r="BF31" s="185">
        <v>316.0</v>
      </c>
      <c r="BG31" s="185">
        <f t="shared" si="23"/>
        <v>289</v>
      </c>
      <c r="BH31" s="508">
        <f t="shared" si="24"/>
        <v>0.5828804348</v>
      </c>
      <c r="BI31" s="185">
        <v>429.0</v>
      </c>
      <c r="BJ31" s="226">
        <v>238.0</v>
      </c>
      <c r="BK31" s="185">
        <f t="shared" si="25"/>
        <v>191</v>
      </c>
      <c r="BL31" s="185">
        <v>396.0</v>
      </c>
      <c r="BM31" s="185">
        <v>0.0</v>
      </c>
      <c r="BN31" s="226">
        <v>0.0</v>
      </c>
      <c r="BO31" s="352"/>
      <c r="BP31" s="352"/>
      <c r="BR31" s="352"/>
      <c r="BS31" s="352"/>
      <c r="BT31" s="509"/>
      <c r="BU31" s="509"/>
      <c r="BV31" s="509"/>
      <c r="BW31" s="509"/>
      <c r="BX31" s="509"/>
      <c r="BY31" s="509"/>
      <c r="BZ31" s="509"/>
      <c r="CA31" s="509"/>
      <c r="CB31" s="509"/>
      <c r="CC31" s="509"/>
      <c r="CD31" s="509"/>
      <c r="CE31" s="509"/>
      <c r="CF31" s="509"/>
      <c r="CG31" s="509"/>
      <c r="CH31" s="509"/>
      <c r="CI31" s="509"/>
      <c r="CJ31" s="509"/>
      <c r="CK31" s="509"/>
      <c r="CL31" s="509"/>
    </row>
    <row r="32" ht="14.25" customHeight="1">
      <c r="A32" s="181" t="s">
        <v>148</v>
      </c>
      <c r="B32" s="182">
        <v>928.0</v>
      </c>
      <c r="C32" s="182" t="s">
        <v>179</v>
      </c>
      <c r="D32" s="183">
        <v>27701.0</v>
      </c>
      <c r="E32" s="183">
        <v>21675.0</v>
      </c>
      <c r="F32" s="183">
        <v>6026.0</v>
      </c>
      <c r="G32" s="507">
        <f t="shared" si="1"/>
        <v>0.750333923</v>
      </c>
      <c r="H32" s="183">
        <v>20785.0</v>
      </c>
      <c r="I32" s="183">
        <v>15511.0</v>
      </c>
      <c r="J32" s="183">
        <f t="shared" si="2"/>
        <v>5274</v>
      </c>
      <c r="K32" s="185">
        <v>12457.0</v>
      </c>
      <c r="L32" s="185">
        <v>7803.0</v>
      </c>
      <c r="M32" s="190">
        <f t="shared" si="3"/>
        <v>0.9126385329</v>
      </c>
      <c r="N32" s="183">
        <v>25281.0</v>
      </c>
      <c r="O32" s="183">
        <v>19837.0</v>
      </c>
      <c r="P32" s="183">
        <f t="shared" si="4"/>
        <v>5444</v>
      </c>
      <c r="Q32" s="183">
        <v>6723.0</v>
      </c>
      <c r="R32" s="183">
        <v>5653.0</v>
      </c>
      <c r="S32" s="183">
        <f t="shared" si="5"/>
        <v>1070</v>
      </c>
      <c r="T32" s="190">
        <f t="shared" si="6"/>
        <v>0.5930832822</v>
      </c>
      <c r="U32" s="183">
        <v>16429.0</v>
      </c>
      <c r="V32" s="183">
        <v>11892.0</v>
      </c>
      <c r="W32" s="183">
        <f t="shared" si="7"/>
        <v>4537</v>
      </c>
      <c r="X32" s="274">
        <f t="shared" si="8"/>
        <v>0.897043428</v>
      </c>
      <c r="Y32" s="183">
        <v>24849.0</v>
      </c>
      <c r="Z32" s="183">
        <v>19952.0</v>
      </c>
      <c r="AA32" s="183">
        <f t="shared" si="9"/>
        <v>4897</v>
      </c>
      <c r="AB32" s="183">
        <v>17958.0</v>
      </c>
      <c r="AC32" s="185">
        <v>6454.0</v>
      </c>
      <c r="AD32" s="190">
        <f t="shared" si="10"/>
        <v>0.8510162088</v>
      </c>
      <c r="AE32" s="183">
        <v>23574.0</v>
      </c>
      <c r="AF32" s="183">
        <v>19049.0</v>
      </c>
      <c r="AG32" s="183">
        <f t="shared" si="11"/>
        <v>4525</v>
      </c>
      <c r="AH32" s="183">
        <v>17144.0</v>
      </c>
      <c r="AI32" s="185">
        <v>6039.0</v>
      </c>
      <c r="AJ32" s="274">
        <f t="shared" si="12"/>
        <v>0.9997473015</v>
      </c>
      <c r="AK32" s="183">
        <v>27694.0</v>
      </c>
      <c r="AL32" s="183">
        <v>21669.0</v>
      </c>
      <c r="AM32" s="183">
        <f t="shared" si="13"/>
        <v>6025</v>
      </c>
      <c r="AN32" s="507">
        <f t="shared" si="14"/>
        <v>0.9681599942</v>
      </c>
      <c r="AO32" s="183">
        <v>26819.0</v>
      </c>
      <c r="AP32" s="183">
        <v>21079.0</v>
      </c>
      <c r="AQ32" s="183">
        <f t="shared" si="15"/>
        <v>5740</v>
      </c>
      <c r="AR32" s="507">
        <f t="shared" si="16"/>
        <v>0.9863181835</v>
      </c>
      <c r="AS32" s="183">
        <f t="shared" si="17"/>
        <v>27322</v>
      </c>
      <c r="AT32" s="183">
        <v>21413.0</v>
      </c>
      <c r="AU32" s="183">
        <v>5909.0</v>
      </c>
      <c r="AV32" s="209">
        <f t="shared" si="18"/>
        <v>0.997545215</v>
      </c>
      <c r="AW32" s="185">
        <v>27633.0</v>
      </c>
      <c r="AX32" s="185">
        <v>21616.0</v>
      </c>
      <c r="AY32" s="183">
        <f t="shared" si="19"/>
        <v>6017</v>
      </c>
      <c r="AZ32" s="209">
        <f t="shared" si="20"/>
        <v>0.9997834013</v>
      </c>
      <c r="BA32" s="185">
        <v>27695.0</v>
      </c>
      <c r="BB32" s="185">
        <v>21669.0</v>
      </c>
      <c r="BC32" s="185">
        <f t="shared" si="21"/>
        <v>6026</v>
      </c>
      <c r="BD32" s="508">
        <f t="shared" si="22"/>
        <v>0.7130067507</v>
      </c>
      <c r="BE32" s="185">
        <v>19751.0</v>
      </c>
      <c r="BF32" s="185">
        <v>14561.0</v>
      </c>
      <c r="BG32" s="185">
        <f t="shared" si="23"/>
        <v>5190</v>
      </c>
      <c r="BH32" s="508">
        <f t="shared" si="24"/>
        <v>0.6757517779</v>
      </c>
      <c r="BI32" s="185">
        <v>18719.0</v>
      </c>
      <c r="BJ32" s="226">
        <v>16698.0</v>
      </c>
      <c r="BK32" s="185">
        <f t="shared" si="25"/>
        <v>2021</v>
      </c>
      <c r="BL32" s="185">
        <v>18422.0</v>
      </c>
      <c r="BM32" s="185">
        <v>0.0</v>
      </c>
      <c r="BN32" s="185">
        <v>2335.0</v>
      </c>
      <c r="BO32" s="352"/>
      <c r="BP32" s="352"/>
      <c r="BR32" s="352"/>
      <c r="BS32" s="352"/>
      <c r="BT32" s="509"/>
      <c r="BU32" s="509"/>
      <c r="BV32" s="509"/>
      <c r="BW32" s="509"/>
      <c r="BX32" s="509"/>
      <c r="BY32" s="509"/>
      <c r="BZ32" s="509"/>
      <c r="CA32" s="509"/>
      <c r="CB32" s="509"/>
      <c r="CC32" s="509"/>
      <c r="CD32" s="509"/>
      <c r="CE32" s="509"/>
      <c r="CF32" s="509"/>
      <c r="CG32" s="509"/>
      <c r="CH32" s="509"/>
      <c r="CI32" s="509"/>
      <c r="CJ32" s="509"/>
      <c r="CK32" s="509"/>
      <c r="CL32" s="509"/>
    </row>
    <row r="33" ht="14.25" customHeight="1">
      <c r="A33" s="181" t="s">
        <v>155</v>
      </c>
      <c r="B33" s="182">
        <v>903.0</v>
      </c>
      <c r="C33" s="182" t="s">
        <v>180</v>
      </c>
      <c r="D33" s="183">
        <v>106373.0</v>
      </c>
      <c r="E33" s="183">
        <v>88362.0</v>
      </c>
      <c r="F33" s="183">
        <v>18011.0</v>
      </c>
      <c r="G33" s="507">
        <f t="shared" si="1"/>
        <v>0.7054515714</v>
      </c>
      <c r="H33" s="183">
        <v>75041.0</v>
      </c>
      <c r="I33" s="183">
        <v>61153.0</v>
      </c>
      <c r="J33" s="183">
        <f t="shared" si="2"/>
        <v>13888</v>
      </c>
      <c r="K33" s="185">
        <v>47974.0</v>
      </c>
      <c r="L33" s="185">
        <v>26140.0</v>
      </c>
      <c r="M33" s="190">
        <f t="shared" si="3"/>
        <v>0.3693888487</v>
      </c>
      <c r="N33" s="183">
        <v>39293.0</v>
      </c>
      <c r="O33" s="183">
        <v>28750.0</v>
      </c>
      <c r="P33" s="183">
        <f t="shared" si="4"/>
        <v>10543</v>
      </c>
      <c r="Q33" s="183">
        <v>10908.0</v>
      </c>
      <c r="R33" s="183">
        <v>9168.0</v>
      </c>
      <c r="S33" s="183">
        <f t="shared" si="5"/>
        <v>1740</v>
      </c>
      <c r="T33" s="190">
        <f t="shared" si="6"/>
        <v>0.5985917479</v>
      </c>
      <c r="U33" s="183">
        <v>63674.0</v>
      </c>
      <c r="V33" s="183">
        <v>50425.0</v>
      </c>
      <c r="W33" s="183">
        <f t="shared" si="7"/>
        <v>13249</v>
      </c>
      <c r="X33" s="274">
        <f t="shared" si="8"/>
        <v>0.6529758491</v>
      </c>
      <c r="Y33" s="183">
        <v>69459.0</v>
      </c>
      <c r="Z33" s="183">
        <v>59171.0</v>
      </c>
      <c r="AA33" s="183">
        <f t="shared" si="9"/>
        <v>10288</v>
      </c>
      <c r="AB33" s="183">
        <v>50752.0</v>
      </c>
      <c r="AC33" s="185">
        <v>17950.0</v>
      </c>
      <c r="AD33" s="190">
        <f t="shared" si="10"/>
        <v>0.4143908699</v>
      </c>
      <c r="AE33" s="183">
        <v>44080.0</v>
      </c>
      <c r="AF33" s="183">
        <v>38612.0</v>
      </c>
      <c r="AG33" s="183">
        <f t="shared" si="11"/>
        <v>5468</v>
      </c>
      <c r="AH33" s="183">
        <v>34068.0</v>
      </c>
      <c r="AI33" s="185">
        <v>9625.0</v>
      </c>
      <c r="AJ33" s="507">
        <f t="shared" si="12"/>
        <v>0.9247647429</v>
      </c>
      <c r="AK33" s="183">
        <v>98370.0</v>
      </c>
      <c r="AL33" s="183">
        <v>81274.0</v>
      </c>
      <c r="AM33" s="183">
        <f t="shared" si="13"/>
        <v>17096</v>
      </c>
      <c r="AN33" s="507">
        <f t="shared" si="14"/>
        <v>0.8966185028</v>
      </c>
      <c r="AO33" s="183">
        <v>95376.0</v>
      </c>
      <c r="AP33" s="183">
        <v>78728.0</v>
      </c>
      <c r="AQ33" s="183">
        <f t="shared" si="15"/>
        <v>16648</v>
      </c>
      <c r="AR33" s="507">
        <f t="shared" si="16"/>
        <v>0.9258458443</v>
      </c>
      <c r="AS33" s="183">
        <f t="shared" si="17"/>
        <v>98485</v>
      </c>
      <c r="AT33" s="183">
        <v>81369.0</v>
      </c>
      <c r="AU33" s="183">
        <v>17116.0</v>
      </c>
      <c r="AV33" s="209">
        <f t="shared" si="18"/>
        <v>0.8735957433</v>
      </c>
      <c r="AW33" s="185">
        <v>92927.0</v>
      </c>
      <c r="AX33" s="185">
        <v>75873.0</v>
      </c>
      <c r="AY33" s="183">
        <f t="shared" si="19"/>
        <v>17054</v>
      </c>
      <c r="AZ33" s="209">
        <f t="shared" si="20"/>
        <v>0.866939919</v>
      </c>
      <c r="BA33" s="185">
        <v>92219.0</v>
      </c>
      <c r="BB33" s="185">
        <v>74767.0</v>
      </c>
      <c r="BC33" s="185">
        <f t="shared" si="21"/>
        <v>17452</v>
      </c>
      <c r="BD33" s="508">
        <f t="shared" si="22"/>
        <v>0.6367969316</v>
      </c>
      <c r="BE33" s="185">
        <v>67738.0</v>
      </c>
      <c r="BF33" s="185">
        <v>51667.0</v>
      </c>
      <c r="BG33" s="185">
        <f t="shared" si="23"/>
        <v>16071</v>
      </c>
      <c r="BH33" s="508">
        <f t="shared" si="24"/>
        <v>0.5050341722</v>
      </c>
      <c r="BI33" s="185">
        <v>53722.0</v>
      </c>
      <c r="BJ33" s="226">
        <v>51012.0</v>
      </c>
      <c r="BK33" s="185">
        <f t="shared" si="25"/>
        <v>2710</v>
      </c>
      <c r="BL33" s="185">
        <v>52114.0</v>
      </c>
      <c r="BM33" s="185">
        <v>0.0</v>
      </c>
      <c r="BN33" s="185">
        <v>6428.0</v>
      </c>
      <c r="BO33" s="352"/>
      <c r="BP33" s="352"/>
      <c r="BR33" s="352"/>
      <c r="BS33" s="352"/>
      <c r="BT33" s="509"/>
      <c r="BU33" s="509"/>
      <c r="BV33" s="509"/>
      <c r="BW33" s="509"/>
      <c r="BX33" s="509"/>
      <c r="BY33" s="509"/>
      <c r="BZ33" s="509"/>
      <c r="CA33" s="509"/>
      <c r="CB33" s="509"/>
      <c r="CC33" s="509"/>
      <c r="CD33" s="509"/>
      <c r="CE33" s="509"/>
      <c r="CF33" s="509"/>
      <c r="CG33" s="509"/>
      <c r="CH33" s="509"/>
      <c r="CI33" s="509"/>
      <c r="CJ33" s="509"/>
      <c r="CK33" s="509"/>
      <c r="CL33" s="509"/>
    </row>
    <row r="34" ht="14.25" customHeight="1">
      <c r="A34" s="181" t="s">
        <v>150</v>
      </c>
      <c r="B34" s="182">
        <v>751.0</v>
      </c>
      <c r="C34" s="182" t="s">
        <v>181</v>
      </c>
      <c r="D34" s="183">
        <v>1259.0</v>
      </c>
      <c r="E34" s="183">
        <v>1142.0</v>
      </c>
      <c r="F34" s="183">
        <v>117.0</v>
      </c>
      <c r="G34" s="507">
        <f t="shared" si="1"/>
        <v>0.5297855441</v>
      </c>
      <c r="H34" s="183">
        <v>667.0</v>
      </c>
      <c r="I34" s="183">
        <v>588.0</v>
      </c>
      <c r="J34" s="183">
        <f t="shared" si="2"/>
        <v>79</v>
      </c>
      <c r="K34" s="185">
        <v>414.0</v>
      </c>
      <c r="L34" s="185">
        <v>214.0</v>
      </c>
      <c r="M34" s="190">
        <f t="shared" si="3"/>
        <v>0.8149324861</v>
      </c>
      <c r="N34" s="183">
        <v>1026.0</v>
      </c>
      <c r="O34" s="183">
        <v>930.0</v>
      </c>
      <c r="P34" s="183">
        <f t="shared" si="4"/>
        <v>96</v>
      </c>
      <c r="Q34" s="183">
        <v>240.0</v>
      </c>
      <c r="R34" s="183">
        <v>212.0</v>
      </c>
      <c r="S34" s="183">
        <f t="shared" si="5"/>
        <v>28</v>
      </c>
      <c r="T34" s="190">
        <f t="shared" si="6"/>
        <v>0.3447180302</v>
      </c>
      <c r="U34" s="183">
        <v>434.0</v>
      </c>
      <c r="V34" s="183">
        <v>368.0</v>
      </c>
      <c r="W34" s="183">
        <f t="shared" si="7"/>
        <v>66</v>
      </c>
      <c r="X34" s="274">
        <f t="shared" si="8"/>
        <v>0.2907069102</v>
      </c>
      <c r="Y34" s="183">
        <v>366.0</v>
      </c>
      <c r="Z34" s="183">
        <v>353.0</v>
      </c>
      <c r="AA34" s="183">
        <f t="shared" si="9"/>
        <v>13</v>
      </c>
      <c r="AB34" s="183">
        <v>305.0</v>
      </c>
      <c r="AC34" s="185">
        <v>46.0</v>
      </c>
      <c r="AD34" s="190">
        <f t="shared" si="10"/>
        <v>0.2017474186</v>
      </c>
      <c r="AE34" s="183">
        <v>254.0</v>
      </c>
      <c r="AF34" s="183">
        <v>241.0</v>
      </c>
      <c r="AG34" s="183">
        <f t="shared" si="11"/>
        <v>13</v>
      </c>
      <c r="AH34" s="183">
        <v>228.0</v>
      </c>
      <c r="AI34" s="185">
        <v>18.0</v>
      </c>
      <c r="AJ34" s="507">
        <f t="shared" si="12"/>
        <v>0.9928514694</v>
      </c>
      <c r="AK34" s="183">
        <v>1250.0</v>
      </c>
      <c r="AL34" s="183">
        <v>1133.0</v>
      </c>
      <c r="AM34" s="183">
        <f t="shared" si="13"/>
        <v>117</v>
      </c>
      <c r="AN34" s="507">
        <f t="shared" si="14"/>
        <v>0.9849086577</v>
      </c>
      <c r="AO34" s="183">
        <v>1240.0</v>
      </c>
      <c r="AP34" s="183">
        <v>1127.0</v>
      </c>
      <c r="AQ34" s="183">
        <f t="shared" si="15"/>
        <v>113</v>
      </c>
      <c r="AR34" s="507">
        <f t="shared" si="16"/>
        <v>0.9213661636</v>
      </c>
      <c r="AS34" s="183">
        <f t="shared" si="17"/>
        <v>1160</v>
      </c>
      <c r="AT34" s="183">
        <v>1056.0</v>
      </c>
      <c r="AU34" s="183">
        <v>104.0</v>
      </c>
      <c r="AV34" s="209">
        <f t="shared" si="18"/>
        <v>0.8459094519</v>
      </c>
      <c r="AW34" s="185">
        <v>1065.0</v>
      </c>
      <c r="AX34" s="185">
        <v>951.0</v>
      </c>
      <c r="AY34" s="183">
        <f t="shared" si="19"/>
        <v>114</v>
      </c>
      <c r="AZ34" s="209">
        <f t="shared" si="20"/>
        <v>0.9841143765</v>
      </c>
      <c r="BA34" s="185">
        <v>1239.0</v>
      </c>
      <c r="BB34" s="185">
        <v>1122.0</v>
      </c>
      <c r="BC34" s="185">
        <f t="shared" si="21"/>
        <v>117</v>
      </c>
      <c r="BD34" s="508">
        <f t="shared" si="22"/>
        <v>0.4511517077</v>
      </c>
      <c r="BE34" s="185">
        <v>568.0</v>
      </c>
      <c r="BF34" s="185">
        <v>484.0</v>
      </c>
      <c r="BG34" s="185">
        <f t="shared" si="23"/>
        <v>84</v>
      </c>
      <c r="BH34" s="508">
        <f t="shared" si="24"/>
        <v>0.5536139793</v>
      </c>
      <c r="BI34" s="185">
        <v>697.0</v>
      </c>
      <c r="BJ34" s="226">
        <v>672.0</v>
      </c>
      <c r="BK34" s="185">
        <f t="shared" si="25"/>
        <v>25</v>
      </c>
      <c r="BL34" s="185">
        <v>632.0</v>
      </c>
      <c r="BM34" s="185">
        <v>0.0</v>
      </c>
      <c r="BN34" s="185">
        <v>25.0</v>
      </c>
      <c r="BO34" s="352"/>
      <c r="BP34" s="352"/>
      <c r="BR34" s="352"/>
      <c r="BS34" s="352"/>
      <c r="BT34" s="509"/>
      <c r="BU34" s="509"/>
      <c r="BV34" s="509"/>
      <c r="BW34" s="509"/>
      <c r="BX34" s="509"/>
      <c r="BY34" s="509"/>
      <c r="BZ34" s="509"/>
      <c r="CA34" s="509"/>
      <c r="CB34" s="509"/>
      <c r="CC34" s="509"/>
      <c r="CD34" s="509"/>
      <c r="CE34" s="509"/>
      <c r="CF34" s="509"/>
      <c r="CG34" s="509"/>
      <c r="CH34" s="509"/>
      <c r="CI34" s="509"/>
      <c r="CJ34" s="509"/>
      <c r="CK34" s="509"/>
      <c r="CL34" s="509"/>
    </row>
    <row r="35" ht="14.25" customHeight="1">
      <c r="A35" s="181" t="s">
        <v>148</v>
      </c>
      <c r="B35" s="182">
        <v>855.0</v>
      </c>
      <c r="C35" s="182" t="s">
        <v>182</v>
      </c>
      <c r="D35" s="183">
        <v>58801.0</v>
      </c>
      <c r="E35" s="183">
        <v>43180.0</v>
      </c>
      <c r="F35" s="183">
        <v>15621.0</v>
      </c>
      <c r="G35" s="507">
        <f t="shared" si="1"/>
        <v>0.6187139674</v>
      </c>
      <c r="H35" s="183">
        <v>36381.0</v>
      </c>
      <c r="I35" s="183">
        <v>25011.0</v>
      </c>
      <c r="J35" s="183">
        <f t="shared" si="2"/>
        <v>11370</v>
      </c>
      <c r="K35" s="185">
        <v>19285.0</v>
      </c>
      <c r="L35" s="185">
        <v>10785.0</v>
      </c>
      <c r="M35" s="190">
        <f t="shared" si="3"/>
        <v>0.3633441608</v>
      </c>
      <c r="N35" s="183">
        <v>21365.0</v>
      </c>
      <c r="O35" s="183">
        <v>12511.0</v>
      </c>
      <c r="P35" s="183">
        <f t="shared" si="4"/>
        <v>8854</v>
      </c>
      <c r="Q35" s="183">
        <v>5815.0</v>
      </c>
      <c r="R35" s="183">
        <v>4503.0</v>
      </c>
      <c r="S35" s="183">
        <f t="shared" si="5"/>
        <v>1312</v>
      </c>
      <c r="T35" s="190">
        <f t="shared" si="6"/>
        <v>0.375605857</v>
      </c>
      <c r="U35" s="183">
        <v>22086.0</v>
      </c>
      <c r="V35" s="183">
        <v>13276.0</v>
      </c>
      <c r="W35" s="183">
        <f t="shared" si="7"/>
        <v>8810</v>
      </c>
      <c r="X35" s="274">
        <f t="shared" si="8"/>
        <v>0.7401234673</v>
      </c>
      <c r="Y35" s="183">
        <v>43520.0</v>
      </c>
      <c r="Z35" s="183">
        <v>34295.0</v>
      </c>
      <c r="AA35" s="183">
        <f t="shared" si="9"/>
        <v>9225</v>
      </c>
      <c r="AB35" s="183">
        <v>32207.0</v>
      </c>
      <c r="AC35" s="185">
        <v>4389.0</v>
      </c>
      <c r="AD35" s="190">
        <f t="shared" si="10"/>
        <v>0.4109283856</v>
      </c>
      <c r="AE35" s="183">
        <v>24163.0</v>
      </c>
      <c r="AF35" s="183">
        <v>19570.0</v>
      </c>
      <c r="AG35" s="183">
        <f t="shared" si="11"/>
        <v>4593</v>
      </c>
      <c r="AH35" s="183">
        <v>20596.0</v>
      </c>
      <c r="AI35" s="185">
        <v>1513.0</v>
      </c>
      <c r="AJ35" s="507">
        <f t="shared" si="12"/>
        <v>1</v>
      </c>
      <c r="AK35" s="183">
        <v>58801.0</v>
      </c>
      <c r="AL35" s="183">
        <v>43180.0</v>
      </c>
      <c r="AM35" s="183">
        <f t="shared" si="13"/>
        <v>15621</v>
      </c>
      <c r="AN35" s="507">
        <f t="shared" si="14"/>
        <v>0.9801023792</v>
      </c>
      <c r="AO35" s="183">
        <v>57631.0</v>
      </c>
      <c r="AP35" s="183">
        <v>42756.0</v>
      </c>
      <c r="AQ35" s="183">
        <f t="shared" si="15"/>
        <v>14875</v>
      </c>
      <c r="AR35" s="507">
        <f t="shared" si="16"/>
        <v>0.9877383038</v>
      </c>
      <c r="AS35" s="183">
        <f t="shared" si="17"/>
        <v>58080</v>
      </c>
      <c r="AT35" s="183">
        <v>42917.0</v>
      </c>
      <c r="AU35" s="183">
        <v>15163.0</v>
      </c>
      <c r="AV35" s="209">
        <f t="shared" si="18"/>
        <v>0.6946310437</v>
      </c>
      <c r="AW35" s="185">
        <v>40845.0</v>
      </c>
      <c r="AX35" s="185">
        <v>29876.0</v>
      </c>
      <c r="AY35" s="183">
        <f t="shared" si="19"/>
        <v>10969</v>
      </c>
      <c r="AZ35" s="209">
        <f t="shared" si="20"/>
        <v>1</v>
      </c>
      <c r="BA35" s="185">
        <v>58801.0</v>
      </c>
      <c r="BB35" s="185">
        <v>43180.0</v>
      </c>
      <c r="BC35" s="185">
        <f t="shared" si="21"/>
        <v>15621</v>
      </c>
      <c r="BD35" s="508">
        <f t="shared" si="22"/>
        <v>0.6947330828</v>
      </c>
      <c r="BE35" s="185">
        <v>40851.0</v>
      </c>
      <c r="BF35" s="185">
        <v>28315.0</v>
      </c>
      <c r="BG35" s="185">
        <f t="shared" si="23"/>
        <v>12536</v>
      </c>
      <c r="BH35" s="508">
        <f t="shared" si="24"/>
        <v>0.7625210456</v>
      </c>
      <c r="BI35" s="185">
        <v>44837.0</v>
      </c>
      <c r="BJ35" s="226">
        <v>36332.0</v>
      </c>
      <c r="BK35" s="185">
        <f t="shared" si="25"/>
        <v>8505</v>
      </c>
      <c r="BL35" s="185">
        <v>35735.0</v>
      </c>
      <c r="BM35" s="185">
        <v>0.0</v>
      </c>
      <c r="BN35" s="185">
        <v>2475.0</v>
      </c>
      <c r="BO35" s="352"/>
      <c r="BP35" s="352"/>
      <c r="BR35" s="352"/>
      <c r="BS35" s="352"/>
      <c r="BT35" s="509"/>
      <c r="BU35" s="509"/>
      <c r="BV35" s="509"/>
      <c r="BW35" s="509"/>
      <c r="BX35" s="509"/>
      <c r="BY35" s="509"/>
      <c r="BZ35" s="509"/>
      <c r="CA35" s="509"/>
      <c r="CB35" s="509"/>
      <c r="CC35" s="509"/>
      <c r="CD35" s="509"/>
      <c r="CE35" s="509"/>
      <c r="CF35" s="509"/>
      <c r="CG35" s="509"/>
      <c r="CH35" s="509"/>
      <c r="CI35" s="509"/>
      <c r="CJ35" s="509"/>
      <c r="CK35" s="509"/>
      <c r="CL35" s="509"/>
    </row>
    <row r="36" ht="14.25" customHeight="1">
      <c r="A36" s="181" t="s">
        <v>150</v>
      </c>
      <c r="B36" s="182">
        <v>754.0</v>
      </c>
      <c r="C36" s="182" t="s">
        <v>183</v>
      </c>
      <c r="D36" s="183">
        <v>43083.0</v>
      </c>
      <c r="E36" s="183">
        <v>28547.0</v>
      </c>
      <c r="F36" s="183">
        <v>14536.0</v>
      </c>
      <c r="G36" s="507">
        <f t="shared" si="1"/>
        <v>0.8291205348</v>
      </c>
      <c r="H36" s="183">
        <v>35721.0</v>
      </c>
      <c r="I36" s="183">
        <v>23141.0</v>
      </c>
      <c r="J36" s="183">
        <f t="shared" si="2"/>
        <v>12580</v>
      </c>
      <c r="K36" s="185">
        <v>22603.0</v>
      </c>
      <c r="L36" s="185">
        <v>10698.0</v>
      </c>
      <c r="M36" s="190">
        <f t="shared" si="3"/>
        <v>0.2262609382</v>
      </c>
      <c r="N36" s="183">
        <v>9748.0</v>
      </c>
      <c r="O36" s="183">
        <v>4207.0</v>
      </c>
      <c r="P36" s="183">
        <f t="shared" si="4"/>
        <v>5541</v>
      </c>
      <c r="Q36" s="183">
        <v>944.0</v>
      </c>
      <c r="R36" s="183">
        <v>706.0</v>
      </c>
      <c r="S36" s="183">
        <f t="shared" si="5"/>
        <v>238</v>
      </c>
      <c r="T36" s="190">
        <f t="shared" si="6"/>
        <v>0.2294872688</v>
      </c>
      <c r="U36" s="183">
        <v>9887.0</v>
      </c>
      <c r="V36" s="183">
        <v>2881.0</v>
      </c>
      <c r="W36" s="183">
        <f t="shared" si="7"/>
        <v>7006</v>
      </c>
      <c r="X36" s="274">
        <f t="shared" si="8"/>
        <v>0.7518742892</v>
      </c>
      <c r="Y36" s="183">
        <v>32393.0</v>
      </c>
      <c r="Z36" s="183">
        <v>22215.0</v>
      </c>
      <c r="AA36" s="183">
        <f t="shared" si="9"/>
        <v>10178</v>
      </c>
      <c r="AB36" s="183">
        <v>23119.0</v>
      </c>
      <c r="AC36" s="185">
        <v>8343.0</v>
      </c>
      <c r="AD36" s="190">
        <f t="shared" si="10"/>
        <v>0.3194067266</v>
      </c>
      <c r="AE36" s="183">
        <v>13761.0</v>
      </c>
      <c r="AF36" s="183">
        <v>7514.0</v>
      </c>
      <c r="AG36" s="183">
        <f t="shared" si="11"/>
        <v>6247</v>
      </c>
      <c r="AH36" s="183">
        <v>6971.0</v>
      </c>
      <c r="AI36" s="185">
        <v>6379.0</v>
      </c>
      <c r="AJ36" s="507">
        <f t="shared" si="12"/>
        <v>0.8639370517</v>
      </c>
      <c r="AK36" s="183">
        <v>37221.0</v>
      </c>
      <c r="AL36" s="183">
        <v>24090.0</v>
      </c>
      <c r="AM36" s="183">
        <f t="shared" si="13"/>
        <v>13131</v>
      </c>
      <c r="AN36" s="507">
        <f t="shared" si="14"/>
        <v>0.6762992364</v>
      </c>
      <c r="AO36" s="183">
        <v>29137.0</v>
      </c>
      <c r="AP36" s="183">
        <v>16681.0</v>
      </c>
      <c r="AQ36" s="183">
        <f t="shared" si="15"/>
        <v>12456</v>
      </c>
      <c r="AR36" s="507">
        <f t="shared" si="16"/>
        <v>0.7758976859</v>
      </c>
      <c r="AS36" s="183">
        <f t="shared" si="17"/>
        <v>33428</v>
      </c>
      <c r="AT36" s="183">
        <v>20174.0</v>
      </c>
      <c r="AU36" s="183">
        <v>13254.0</v>
      </c>
      <c r="AV36" s="209">
        <f t="shared" si="18"/>
        <v>0.9273495346</v>
      </c>
      <c r="AW36" s="185">
        <v>39953.0</v>
      </c>
      <c r="AX36" s="185">
        <v>26599.0</v>
      </c>
      <c r="AY36" s="183">
        <f t="shared" si="19"/>
        <v>13354</v>
      </c>
      <c r="AZ36" s="209">
        <f t="shared" si="20"/>
        <v>0.9033725599</v>
      </c>
      <c r="BA36" s="185">
        <v>38920.0</v>
      </c>
      <c r="BB36" s="185">
        <v>24857.0</v>
      </c>
      <c r="BC36" s="185">
        <f t="shared" si="21"/>
        <v>14063</v>
      </c>
      <c r="BD36" s="508">
        <f t="shared" si="22"/>
        <v>0.626233085</v>
      </c>
      <c r="BE36" s="185">
        <v>26980.0</v>
      </c>
      <c r="BF36" s="185">
        <v>14365.0</v>
      </c>
      <c r="BG36" s="185">
        <f t="shared" si="23"/>
        <v>12615</v>
      </c>
      <c r="BH36" s="508">
        <f t="shared" si="24"/>
        <v>0.6195715247</v>
      </c>
      <c r="BI36" s="185">
        <v>26693.0</v>
      </c>
      <c r="BJ36" s="226">
        <v>22397.0</v>
      </c>
      <c r="BK36" s="185">
        <f t="shared" si="25"/>
        <v>4296</v>
      </c>
      <c r="BL36" s="185">
        <v>24583.0</v>
      </c>
      <c r="BM36" s="185">
        <v>0.0</v>
      </c>
      <c r="BN36" s="185">
        <v>4835.0</v>
      </c>
      <c r="BO36" s="352"/>
      <c r="BP36" s="352"/>
      <c r="BR36" s="352"/>
      <c r="BS36" s="352"/>
      <c r="BT36" s="509"/>
      <c r="BU36" s="509"/>
      <c r="BV36" s="509"/>
      <c r="BW36" s="509"/>
      <c r="BX36" s="509"/>
      <c r="BY36" s="509"/>
      <c r="BZ36" s="509"/>
      <c r="CA36" s="509"/>
      <c r="CB36" s="509"/>
      <c r="CC36" s="509"/>
      <c r="CD36" s="509"/>
      <c r="CE36" s="509"/>
      <c r="CF36" s="509"/>
      <c r="CG36" s="509"/>
      <c r="CH36" s="509"/>
      <c r="CI36" s="509"/>
      <c r="CJ36" s="509"/>
      <c r="CK36" s="509"/>
      <c r="CL36" s="509"/>
    </row>
    <row r="37" ht="14.25" customHeight="1">
      <c r="A37" s="181" t="s">
        <v>148</v>
      </c>
      <c r="B37" s="182">
        <v>834.0</v>
      </c>
      <c r="C37" s="182" t="s">
        <v>184</v>
      </c>
      <c r="D37" s="183">
        <v>4929.0</v>
      </c>
      <c r="E37" s="183">
        <v>4527.0</v>
      </c>
      <c r="F37" s="183">
        <v>402.0</v>
      </c>
      <c r="G37" s="507">
        <f t="shared" si="1"/>
        <v>0.2568472307</v>
      </c>
      <c r="H37" s="183">
        <v>1266.0</v>
      </c>
      <c r="I37" s="183">
        <v>1098.0</v>
      </c>
      <c r="J37" s="183">
        <f t="shared" si="2"/>
        <v>168</v>
      </c>
      <c r="K37" s="185">
        <v>1015.0</v>
      </c>
      <c r="L37" s="185">
        <v>180.0</v>
      </c>
      <c r="M37" s="190">
        <f t="shared" si="3"/>
        <v>0.2607019679</v>
      </c>
      <c r="N37" s="183">
        <v>1285.0</v>
      </c>
      <c r="O37" s="183">
        <v>1084.0</v>
      </c>
      <c r="P37" s="183">
        <f t="shared" si="4"/>
        <v>201</v>
      </c>
      <c r="Q37" s="183">
        <v>400.0</v>
      </c>
      <c r="R37" s="183">
        <v>364.0</v>
      </c>
      <c r="S37" s="183">
        <f t="shared" si="5"/>
        <v>36</v>
      </c>
      <c r="T37" s="190">
        <f t="shared" si="6"/>
        <v>0.1817812944</v>
      </c>
      <c r="U37" s="183">
        <v>896.0</v>
      </c>
      <c r="V37" s="183">
        <v>743.0</v>
      </c>
      <c r="W37" s="183">
        <f t="shared" si="7"/>
        <v>153</v>
      </c>
      <c r="X37" s="274">
        <f t="shared" si="8"/>
        <v>0.6299452222</v>
      </c>
      <c r="Y37" s="183">
        <v>3105.0</v>
      </c>
      <c r="Z37" s="183">
        <v>2829.0</v>
      </c>
      <c r="AA37" s="183">
        <f t="shared" si="9"/>
        <v>276</v>
      </c>
      <c r="AB37" s="183">
        <v>2868.0</v>
      </c>
      <c r="AC37" s="185">
        <v>96.0</v>
      </c>
      <c r="AD37" s="190">
        <f t="shared" si="10"/>
        <v>0.3528099006</v>
      </c>
      <c r="AE37" s="183">
        <v>1739.0</v>
      </c>
      <c r="AF37" s="183">
        <v>1586.0</v>
      </c>
      <c r="AG37" s="183">
        <f t="shared" si="11"/>
        <v>153</v>
      </c>
      <c r="AH37" s="183">
        <v>1592.0</v>
      </c>
      <c r="AI37" s="185">
        <v>56.0</v>
      </c>
      <c r="AJ37" s="507">
        <f t="shared" si="12"/>
        <v>0.754919862</v>
      </c>
      <c r="AK37" s="183">
        <v>3721.0</v>
      </c>
      <c r="AL37" s="183">
        <v>3346.0</v>
      </c>
      <c r="AM37" s="183">
        <f t="shared" si="13"/>
        <v>375</v>
      </c>
      <c r="AN37" s="507">
        <f t="shared" si="14"/>
        <v>0.7244877257</v>
      </c>
      <c r="AO37" s="183">
        <v>3571.0</v>
      </c>
      <c r="AP37" s="183">
        <v>3245.0</v>
      </c>
      <c r="AQ37" s="183">
        <f t="shared" si="15"/>
        <v>326</v>
      </c>
      <c r="AR37" s="507">
        <f t="shared" si="16"/>
        <v>0.7447758166</v>
      </c>
      <c r="AS37" s="183">
        <f t="shared" si="17"/>
        <v>3671</v>
      </c>
      <c r="AT37" s="183">
        <v>3321.0</v>
      </c>
      <c r="AU37" s="183">
        <v>350.0</v>
      </c>
      <c r="AV37" s="209">
        <f t="shared" si="18"/>
        <v>0.8437817001</v>
      </c>
      <c r="AW37" s="185">
        <v>4159.0</v>
      </c>
      <c r="AX37" s="185">
        <v>3768.0</v>
      </c>
      <c r="AY37" s="183">
        <f t="shared" si="19"/>
        <v>391</v>
      </c>
      <c r="AZ37" s="209">
        <f t="shared" si="20"/>
        <v>0.5498072631</v>
      </c>
      <c r="BA37" s="185">
        <v>2710.0</v>
      </c>
      <c r="BB37" s="185">
        <v>2368.0</v>
      </c>
      <c r="BC37" s="185">
        <f t="shared" si="21"/>
        <v>342</v>
      </c>
      <c r="BD37" s="508">
        <f t="shared" si="22"/>
        <v>0.3201460743</v>
      </c>
      <c r="BE37" s="185">
        <v>1578.0</v>
      </c>
      <c r="BF37" s="185">
        <v>1404.0</v>
      </c>
      <c r="BG37" s="185">
        <f t="shared" si="23"/>
        <v>174</v>
      </c>
      <c r="BH37" s="508">
        <f t="shared" si="24"/>
        <v>0.5948468249</v>
      </c>
      <c r="BI37" s="185">
        <v>2932.0</v>
      </c>
      <c r="BJ37" s="226">
        <v>2710.0</v>
      </c>
      <c r="BK37" s="185">
        <f t="shared" si="25"/>
        <v>222</v>
      </c>
      <c r="BL37" s="185">
        <v>2890.0</v>
      </c>
      <c r="BM37" s="185">
        <v>0.0</v>
      </c>
      <c r="BN37" s="185">
        <v>120.0</v>
      </c>
      <c r="BO37" s="352"/>
      <c r="BP37" s="352"/>
      <c r="BR37" s="352"/>
      <c r="BS37" s="352"/>
      <c r="BT37" s="509"/>
      <c r="BU37" s="509"/>
      <c r="BV37" s="509"/>
      <c r="BW37" s="509"/>
      <c r="BX37" s="509"/>
      <c r="BY37" s="509"/>
      <c r="BZ37" s="509"/>
      <c r="CA37" s="509"/>
      <c r="CB37" s="509"/>
      <c r="CC37" s="509"/>
      <c r="CD37" s="509"/>
      <c r="CE37" s="509"/>
      <c r="CF37" s="509"/>
      <c r="CG37" s="509"/>
      <c r="CH37" s="509"/>
      <c r="CI37" s="509"/>
      <c r="CJ37" s="509"/>
      <c r="CK37" s="509"/>
      <c r="CL37" s="509"/>
    </row>
    <row r="38" ht="14.25" customHeight="1">
      <c r="A38" s="181" t="s">
        <v>159</v>
      </c>
      <c r="B38" s="182">
        <v>851.0</v>
      </c>
      <c r="C38" s="182" t="s">
        <v>185</v>
      </c>
      <c r="D38" s="183">
        <v>258054.0</v>
      </c>
      <c r="E38" s="183">
        <v>221117.0</v>
      </c>
      <c r="F38" s="183">
        <v>36937.0</v>
      </c>
      <c r="G38" s="507">
        <f t="shared" si="1"/>
        <v>0.6890534539</v>
      </c>
      <c r="H38" s="183">
        <v>177813.0</v>
      </c>
      <c r="I38" s="183">
        <v>156959.0</v>
      </c>
      <c r="J38" s="183">
        <f t="shared" si="2"/>
        <v>20854</v>
      </c>
      <c r="K38" s="185">
        <v>120274.0</v>
      </c>
      <c r="L38" s="185">
        <v>47270.0</v>
      </c>
      <c r="M38" s="190">
        <f t="shared" si="3"/>
        <v>0.1417106497</v>
      </c>
      <c r="N38" s="183">
        <v>36569.0</v>
      </c>
      <c r="O38" s="183">
        <v>24639.0</v>
      </c>
      <c r="P38" s="183">
        <f t="shared" si="4"/>
        <v>11930</v>
      </c>
      <c r="Q38" s="183">
        <v>3949.0</v>
      </c>
      <c r="R38" s="183">
        <v>2630.0</v>
      </c>
      <c r="S38" s="183">
        <f t="shared" si="5"/>
        <v>1319</v>
      </c>
      <c r="T38" s="190">
        <f t="shared" si="6"/>
        <v>0.2114053648</v>
      </c>
      <c r="U38" s="183">
        <v>54554.0</v>
      </c>
      <c r="V38" s="183">
        <v>39986.0</v>
      </c>
      <c r="W38" s="183">
        <f t="shared" si="7"/>
        <v>14568</v>
      </c>
      <c r="X38" s="274">
        <f t="shared" si="8"/>
        <v>0.6445278895</v>
      </c>
      <c r="Y38" s="183">
        <v>166323.0</v>
      </c>
      <c r="Z38" s="183">
        <v>148998.0</v>
      </c>
      <c r="AA38" s="183">
        <f t="shared" si="9"/>
        <v>17325</v>
      </c>
      <c r="AB38" s="183">
        <v>115129.0</v>
      </c>
      <c r="AC38" s="185">
        <v>41471.0</v>
      </c>
      <c r="AD38" s="190">
        <f t="shared" si="10"/>
        <v>0.4725290056</v>
      </c>
      <c r="AE38" s="183">
        <v>121938.0</v>
      </c>
      <c r="AF38" s="183">
        <v>111287.0</v>
      </c>
      <c r="AG38" s="183">
        <f t="shared" si="11"/>
        <v>10651</v>
      </c>
      <c r="AH38" s="183">
        <v>90330.0</v>
      </c>
      <c r="AI38" s="185">
        <v>26129.0</v>
      </c>
      <c r="AJ38" s="507">
        <f t="shared" si="12"/>
        <v>0.9658559836</v>
      </c>
      <c r="AK38" s="183">
        <v>249243.0</v>
      </c>
      <c r="AL38" s="183">
        <v>213543.0</v>
      </c>
      <c r="AM38" s="183">
        <f t="shared" si="13"/>
        <v>35700</v>
      </c>
      <c r="AN38" s="507">
        <f t="shared" si="14"/>
        <v>0.9511226332</v>
      </c>
      <c r="AO38" s="183">
        <v>245441.0</v>
      </c>
      <c r="AP38" s="183">
        <v>210957.0</v>
      </c>
      <c r="AQ38" s="183">
        <f t="shared" si="15"/>
        <v>34484</v>
      </c>
      <c r="AR38" s="507">
        <f t="shared" si="16"/>
        <v>0.9673401691</v>
      </c>
      <c r="AS38" s="183">
        <f t="shared" si="17"/>
        <v>249626</v>
      </c>
      <c r="AT38" s="183">
        <v>214276.0</v>
      </c>
      <c r="AU38" s="183">
        <v>35350.0</v>
      </c>
      <c r="AV38" s="209">
        <f t="shared" si="18"/>
        <v>0.9209041518</v>
      </c>
      <c r="AW38" s="185">
        <v>237643.0</v>
      </c>
      <c r="AX38" s="185">
        <v>203467.0</v>
      </c>
      <c r="AY38" s="183">
        <f t="shared" si="19"/>
        <v>34176</v>
      </c>
      <c r="AZ38" s="209">
        <f t="shared" si="20"/>
        <v>0.8132251389</v>
      </c>
      <c r="BA38" s="185">
        <v>209856.0</v>
      </c>
      <c r="BB38" s="185">
        <v>176008.0</v>
      </c>
      <c r="BC38" s="185">
        <f t="shared" si="21"/>
        <v>33848</v>
      </c>
      <c r="BD38" s="508">
        <f t="shared" si="22"/>
        <v>0.6845660211</v>
      </c>
      <c r="BE38" s="185">
        <v>176655.0</v>
      </c>
      <c r="BF38" s="185">
        <v>144316.0</v>
      </c>
      <c r="BG38" s="185">
        <f t="shared" si="23"/>
        <v>32339</v>
      </c>
      <c r="BH38" s="508">
        <f t="shared" si="24"/>
        <v>0.4291969898</v>
      </c>
      <c r="BI38" s="185">
        <v>110756.0</v>
      </c>
      <c r="BJ38" s="226">
        <v>105733.0</v>
      </c>
      <c r="BK38" s="185">
        <f t="shared" si="25"/>
        <v>5023</v>
      </c>
      <c r="BL38" s="185">
        <v>107611.0</v>
      </c>
      <c r="BM38" s="185">
        <v>0.0</v>
      </c>
      <c r="BN38" s="185">
        <v>3965.0</v>
      </c>
      <c r="BO38" s="352"/>
      <c r="BP38" s="352"/>
      <c r="BR38" s="352"/>
      <c r="BS38" s="352"/>
      <c r="BT38" s="509"/>
      <c r="BU38" s="509"/>
      <c r="BV38" s="509"/>
      <c r="BW38" s="509"/>
      <c r="BX38" s="509"/>
      <c r="BY38" s="509"/>
      <c r="BZ38" s="509"/>
      <c r="CA38" s="509"/>
      <c r="CB38" s="509"/>
      <c r="CC38" s="509"/>
      <c r="CD38" s="509"/>
      <c r="CE38" s="509"/>
      <c r="CF38" s="509"/>
      <c r="CG38" s="509"/>
      <c r="CH38" s="509"/>
      <c r="CI38" s="509"/>
      <c r="CJ38" s="509"/>
      <c r="CK38" s="509"/>
      <c r="CL38" s="509"/>
    </row>
    <row r="39" ht="14.25" customHeight="1">
      <c r="A39" s="181" t="s">
        <v>159</v>
      </c>
      <c r="B39" s="182">
        <v>719.0</v>
      </c>
      <c r="C39" s="182" t="s">
        <v>186</v>
      </c>
      <c r="D39" s="183">
        <v>22815.0</v>
      </c>
      <c r="E39" s="183">
        <v>19206.0</v>
      </c>
      <c r="F39" s="183">
        <v>3609.0</v>
      </c>
      <c r="G39" s="507">
        <f t="shared" si="1"/>
        <v>0.7486741179</v>
      </c>
      <c r="H39" s="183">
        <v>17081.0</v>
      </c>
      <c r="I39" s="183">
        <v>14408.0</v>
      </c>
      <c r="J39" s="183">
        <f t="shared" si="2"/>
        <v>2673</v>
      </c>
      <c r="K39" s="185">
        <v>12531.0</v>
      </c>
      <c r="L39" s="185">
        <v>3847.0</v>
      </c>
      <c r="M39" s="190">
        <f t="shared" si="3"/>
        <v>0.4560157791</v>
      </c>
      <c r="N39" s="183">
        <v>10404.0</v>
      </c>
      <c r="O39" s="183">
        <v>7959.0</v>
      </c>
      <c r="P39" s="183">
        <f t="shared" si="4"/>
        <v>2445</v>
      </c>
      <c r="Q39" s="183">
        <v>935.0</v>
      </c>
      <c r="R39" s="183">
        <v>607.0</v>
      </c>
      <c r="S39" s="183">
        <f t="shared" si="5"/>
        <v>328</v>
      </c>
      <c r="T39" s="190">
        <f t="shared" si="6"/>
        <v>0.2737234276</v>
      </c>
      <c r="U39" s="183">
        <v>6245.0</v>
      </c>
      <c r="V39" s="183">
        <v>4274.0</v>
      </c>
      <c r="W39" s="183">
        <f t="shared" si="7"/>
        <v>1971</v>
      </c>
      <c r="X39" s="274">
        <f t="shared" si="8"/>
        <v>0.6167872014</v>
      </c>
      <c r="Y39" s="183">
        <v>14072.0</v>
      </c>
      <c r="Z39" s="183">
        <v>12506.0</v>
      </c>
      <c r="AA39" s="183">
        <f t="shared" si="9"/>
        <v>1566</v>
      </c>
      <c r="AB39" s="183">
        <v>12267.0</v>
      </c>
      <c r="AC39" s="185">
        <v>1395.0</v>
      </c>
      <c r="AD39" s="190">
        <f t="shared" si="10"/>
        <v>0.4036817883</v>
      </c>
      <c r="AE39" s="183">
        <v>9210.0</v>
      </c>
      <c r="AF39" s="183">
        <v>8249.0</v>
      </c>
      <c r="AG39" s="183">
        <f t="shared" si="11"/>
        <v>961</v>
      </c>
      <c r="AH39" s="183">
        <v>8236.0</v>
      </c>
      <c r="AI39" s="185">
        <v>794.0</v>
      </c>
      <c r="AJ39" s="507">
        <f t="shared" si="12"/>
        <v>0.924742494</v>
      </c>
      <c r="AK39" s="183">
        <v>21098.0</v>
      </c>
      <c r="AL39" s="183">
        <v>17571.0</v>
      </c>
      <c r="AM39" s="183">
        <f t="shared" si="13"/>
        <v>3527</v>
      </c>
      <c r="AN39" s="507">
        <f t="shared" si="14"/>
        <v>0.880429542</v>
      </c>
      <c r="AO39" s="183">
        <v>20087.0</v>
      </c>
      <c r="AP39" s="183">
        <v>16736.0</v>
      </c>
      <c r="AQ39" s="183">
        <f t="shared" si="15"/>
        <v>3351</v>
      </c>
      <c r="AR39" s="507">
        <f t="shared" si="16"/>
        <v>0.9028270874</v>
      </c>
      <c r="AS39" s="183">
        <f t="shared" si="17"/>
        <v>20598</v>
      </c>
      <c r="AT39" s="183">
        <v>17152.0</v>
      </c>
      <c r="AU39" s="183">
        <v>3446.0</v>
      </c>
      <c r="AV39" s="209">
        <f t="shared" si="18"/>
        <v>0.6353714661</v>
      </c>
      <c r="AW39" s="185">
        <v>14496.0</v>
      </c>
      <c r="AX39" s="185">
        <v>11139.0</v>
      </c>
      <c r="AY39" s="183">
        <f t="shared" si="19"/>
        <v>3357</v>
      </c>
      <c r="AZ39" s="209">
        <f t="shared" si="20"/>
        <v>0.8861275477</v>
      </c>
      <c r="BA39" s="114">
        <v>20217.0</v>
      </c>
      <c r="BB39" s="185">
        <v>16663.0</v>
      </c>
      <c r="BC39" s="185">
        <f t="shared" si="21"/>
        <v>3554</v>
      </c>
      <c r="BD39" s="508">
        <f t="shared" si="22"/>
        <v>0.5509533202</v>
      </c>
      <c r="BE39" s="114">
        <v>12570.0</v>
      </c>
      <c r="BF39" s="185">
        <v>9785.0</v>
      </c>
      <c r="BG39" s="185">
        <f t="shared" si="23"/>
        <v>2785</v>
      </c>
      <c r="BH39" s="508">
        <f t="shared" si="24"/>
        <v>0.3881218497</v>
      </c>
      <c r="BI39" s="185">
        <v>8855.0</v>
      </c>
      <c r="BJ39" s="226">
        <v>8003.0</v>
      </c>
      <c r="BK39" s="185">
        <f t="shared" si="25"/>
        <v>852</v>
      </c>
      <c r="BL39" s="185">
        <v>8436.0</v>
      </c>
      <c r="BM39" s="185">
        <v>0.0</v>
      </c>
      <c r="BN39" s="185">
        <v>1364.0</v>
      </c>
      <c r="BO39" s="352"/>
      <c r="BP39" s="352"/>
      <c r="BR39" s="352"/>
      <c r="BS39" s="352"/>
      <c r="BT39" s="509"/>
      <c r="BU39" s="509"/>
      <c r="BV39" s="509"/>
      <c r="BW39" s="509"/>
      <c r="BX39" s="509"/>
      <c r="BY39" s="509"/>
      <c r="BZ39" s="509"/>
      <c r="CA39" s="509"/>
      <c r="CB39" s="509"/>
      <c r="CC39" s="509"/>
      <c r="CD39" s="509"/>
      <c r="CE39" s="509"/>
      <c r="CF39" s="509"/>
      <c r="CG39" s="509"/>
      <c r="CH39" s="509"/>
      <c r="CI39" s="509"/>
      <c r="CJ39" s="509"/>
      <c r="CK39" s="509"/>
      <c r="CL39" s="509"/>
    </row>
    <row r="40" ht="14.25" customHeight="1">
      <c r="A40" s="181" t="s">
        <v>153</v>
      </c>
      <c r="B40" s="182">
        <v>866.0</v>
      </c>
      <c r="C40" s="182" t="s">
        <v>187</v>
      </c>
      <c r="D40" s="183">
        <v>94744.0</v>
      </c>
      <c r="E40" s="183">
        <v>82551.0</v>
      </c>
      <c r="F40" s="183">
        <v>12193.0</v>
      </c>
      <c r="G40" s="507">
        <f t="shared" si="1"/>
        <v>0.6779110023</v>
      </c>
      <c r="H40" s="183">
        <v>64228.0</v>
      </c>
      <c r="I40" s="183">
        <v>55220.0</v>
      </c>
      <c r="J40" s="183">
        <f t="shared" si="2"/>
        <v>9008</v>
      </c>
      <c r="K40" s="114">
        <v>59019.0</v>
      </c>
      <c r="L40" s="185">
        <v>4324.0</v>
      </c>
      <c r="M40" s="190">
        <f t="shared" si="3"/>
        <v>0.1650236427</v>
      </c>
      <c r="N40" s="183">
        <v>15635.0</v>
      </c>
      <c r="O40" s="183">
        <v>12017.0</v>
      </c>
      <c r="P40" s="183">
        <f t="shared" si="4"/>
        <v>3618</v>
      </c>
      <c r="Q40" s="183">
        <v>7346.0</v>
      </c>
      <c r="R40" s="183">
        <v>5667.0</v>
      </c>
      <c r="S40" s="183">
        <f t="shared" si="5"/>
        <v>1679</v>
      </c>
      <c r="T40" s="190">
        <f t="shared" si="6"/>
        <v>0.1667229587</v>
      </c>
      <c r="U40" s="183">
        <v>15796.0</v>
      </c>
      <c r="V40" s="183">
        <v>12121.0</v>
      </c>
      <c r="W40" s="183">
        <f t="shared" si="7"/>
        <v>3675</v>
      </c>
      <c r="X40" s="274">
        <f t="shared" si="8"/>
        <v>0.77247108</v>
      </c>
      <c r="Y40" s="183">
        <v>73187.0</v>
      </c>
      <c r="Z40" s="183">
        <v>64075.0</v>
      </c>
      <c r="AA40" s="183">
        <f t="shared" si="9"/>
        <v>9112</v>
      </c>
      <c r="AB40" s="183">
        <v>70187.0</v>
      </c>
      <c r="AC40" s="185">
        <v>2507.0</v>
      </c>
      <c r="AD40" s="190">
        <f t="shared" si="10"/>
        <v>0.5309465507</v>
      </c>
      <c r="AE40" s="183">
        <v>50304.0</v>
      </c>
      <c r="AF40" s="183">
        <v>45708.0</v>
      </c>
      <c r="AG40" s="183">
        <f t="shared" si="11"/>
        <v>4596</v>
      </c>
      <c r="AH40" s="183">
        <v>49237.0</v>
      </c>
      <c r="AI40" s="185">
        <v>871.0</v>
      </c>
      <c r="AJ40" s="507">
        <f t="shared" si="12"/>
        <v>0.9949020518</v>
      </c>
      <c r="AK40" s="183">
        <v>94261.0</v>
      </c>
      <c r="AL40" s="183">
        <v>82110.0</v>
      </c>
      <c r="AM40" s="183">
        <f t="shared" si="13"/>
        <v>12151</v>
      </c>
      <c r="AN40" s="507">
        <f t="shared" si="14"/>
        <v>0.969327873</v>
      </c>
      <c r="AO40" s="183">
        <v>91838.0</v>
      </c>
      <c r="AP40" s="183">
        <v>80892.0</v>
      </c>
      <c r="AQ40" s="183">
        <f t="shared" si="15"/>
        <v>10946</v>
      </c>
      <c r="AR40" s="507">
        <f t="shared" si="16"/>
        <v>0.9881047876</v>
      </c>
      <c r="AS40" s="183">
        <f t="shared" si="17"/>
        <v>93617</v>
      </c>
      <c r="AT40" s="183">
        <v>82156.0</v>
      </c>
      <c r="AU40" s="183">
        <v>11461.0</v>
      </c>
      <c r="AV40" s="209">
        <f t="shared" si="18"/>
        <v>0.9035506206</v>
      </c>
      <c r="AW40" s="114">
        <v>85606.0</v>
      </c>
      <c r="AX40" s="114">
        <v>74012.0</v>
      </c>
      <c r="AY40" s="183">
        <f t="shared" si="19"/>
        <v>11594</v>
      </c>
      <c r="AZ40" s="209">
        <f t="shared" si="20"/>
        <v>0.9615701258</v>
      </c>
      <c r="BA40" s="226">
        <v>91103.0</v>
      </c>
      <c r="BB40" s="114">
        <v>79333.0</v>
      </c>
      <c r="BC40" s="185">
        <f t="shared" si="21"/>
        <v>11770</v>
      </c>
      <c r="BD40" s="508">
        <f t="shared" si="22"/>
        <v>0.4250084438</v>
      </c>
      <c r="BE40" s="226">
        <v>40267.0</v>
      </c>
      <c r="BF40" s="114">
        <v>34006.0</v>
      </c>
      <c r="BG40" s="185">
        <f t="shared" si="23"/>
        <v>6261</v>
      </c>
      <c r="BH40" s="508">
        <f t="shared" si="24"/>
        <v>0.6415287512</v>
      </c>
      <c r="BI40" s="114">
        <v>60781.0</v>
      </c>
      <c r="BJ40" s="226">
        <v>53846.0</v>
      </c>
      <c r="BK40" s="185">
        <f t="shared" si="25"/>
        <v>6935</v>
      </c>
      <c r="BL40" s="114">
        <v>60665.0</v>
      </c>
      <c r="BM40" s="185">
        <v>0.0</v>
      </c>
      <c r="BN40" s="185">
        <v>3112.0</v>
      </c>
      <c r="BO40" s="352"/>
      <c r="BP40" s="352"/>
      <c r="BR40" s="352"/>
      <c r="BS40" s="352"/>
      <c r="BT40" s="509"/>
      <c r="BU40" s="509"/>
      <c r="BV40" s="509"/>
      <c r="BW40" s="509"/>
      <c r="BX40" s="509"/>
      <c r="BY40" s="509"/>
      <c r="BZ40" s="509"/>
      <c r="CA40" s="509"/>
      <c r="CB40" s="509"/>
      <c r="CC40" s="509"/>
      <c r="CD40" s="509"/>
      <c r="CE40" s="509"/>
      <c r="CF40" s="509"/>
      <c r="CG40" s="509"/>
      <c r="CH40" s="509"/>
      <c r="CI40" s="509"/>
      <c r="CJ40" s="509"/>
      <c r="CK40" s="509"/>
      <c r="CL40" s="509"/>
    </row>
    <row r="41" ht="14.25" customHeight="1">
      <c r="C41" s="230" t="s">
        <v>67</v>
      </c>
      <c r="D41" s="125">
        <v>1489115.0</v>
      </c>
      <c r="E41" s="125">
        <v>1234788.0</v>
      </c>
      <c r="F41" s="125">
        <v>254327.0</v>
      </c>
      <c r="G41" s="507">
        <f t="shared" si="1"/>
        <v>0.7676734168</v>
      </c>
      <c r="H41" s="125">
        <f t="shared" ref="H41:L41" si="26">SUM(H5:H40)</f>
        <v>1143154</v>
      </c>
      <c r="I41" s="125">
        <f t="shared" si="26"/>
        <v>938429</v>
      </c>
      <c r="J41" s="125">
        <f t="shared" si="26"/>
        <v>204725</v>
      </c>
      <c r="K41" s="125">
        <f t="shared" si="26"/>
        <v>775560</v>
      </c>
      <c r="L41" s="125">
        <f t="shared" si="26"/>
        <v>244367</v>
      </c>
      <c r="M41" s="235">
        <f t="shared" si="3"/>
        <v>0.3200189374</v>
      </c>
      <c r="N41" s="125">
        <f t="shared" ref="N41:S41" si="27">SUM(N5:N40)</f>
        <v>476545</v>
      </c>
      <c r="O41" s="125">
        <f t="shared" si="27"/>
        <v>335851</v>
      </c>
      <c r="P41" s="125">
        <f t="shared" si="27"/>
        <v>140694</v>
      </c>
      <c r="Q41" s="125">
        <f t="shared" si="27"/>
        <v>82223</v>
      </c>
      <c r="R41" s="125">
        <f t="shared" si="27"/>
        <v>60894</v>
      </c>
      <c r="S41" s="125">
        <f t="shared" si="27"/>
        <v>21329</v>
      </c>
      <c r="T41" s="235">
        <f t="shared" si="6"/>
        <v>0.3391202157</v>
      </c>
      <c r="U41" s="125">
        <f t="shared" ref="U41:W41" si="28">SUM(U5:U40)</f>
        <v>504989</v>
      </c>
      <c r="V41" s="125">
        <f t="shared" si="28"/>
        <v>357463</v>
      </c>
      <c r="W41" s="125">
        <f t="shared" si="28"/>
        <v>147526</v>
      </c>
      <c r="X41" s="512">
        <f t="shared" si="8"/>
        <v>0.718409928</v>
      </c>
      <c r="Y41" s="125">
        <f t="shared" ref="Y41:AC41" si="29">SUM(Y5:Y40)</f>
        <v>1069795</v>
      </c>
      <c r="Z41" s="125">
        <f t="shared" si="29"/>
        <v>909307</v>
      </c>
      <c r="AA41" s="125">
        <f t="shared" si="29"/>
        <v>160488</v>
      </c>
      <c r="AB41" s="125">
        <f t="shared" si="29"/>
        <v>808910</v>
      </c>
      <c r="AC41" s="125">
        <f t="shared" si="29"/>
        <v>163635</v>
      </c>
      <c r="AD41" s="235">
        <f t="shared" si="10"/>
        <v>0.4972047156</v>
      </c>
      <c r="AE41" s="125">
        <f t="shared" ref="AE41:AI41" si="30">SUM(AE5:AE40)</f>
        <v>740395</v>
      </c>
      <c r="AF41" s="125">
        <f t="shared" si="30"/>
        <v>634545</v>
      </c>
      <c r="AG41" s="125">
        <f t="shared" si="30"/>
        <v>105850</v>
      </c>
      <c r="AH41" s="125">
        <f t="shared" si="30"/>
        <v>574521</v>
      </c>
      <c r="AI41" s="125">
        <f t="shared" si="30"/>
        <v>107503</v>
      </c>
      <c r="AJ41" s="513">
        <f t="shared" si="12"/>
        <v>0.9593302062</v>
      </c>
      <c r="AK41" s="125">
        <f t="shared" ref="AK41:AM41" si="31">SUM(AK5:AK40)</f>
        <v>1428553</v>
      </c>
      <c r="AL41" s="125">
        <f t="shared" si="31"/>
        <v>1181392</v>
      </c>
      <c r="AM41" s="125">
        <f t="shared" si="31"/>
        <v>247161</v>
      </c>
      <c r="AN41" s="513">
        <f t="shared" si="14"/>
        <v>0.9099861327</v>
      </c>
      <c r="AO41" s="125">
        <f t="shared" ref="AO41:AQ41" si="32">SUM(AO5:AO40)</f>
        <v>1355074</v>
      </c>
      <c r="AP41" s="125">
        <f t="shared" si="32"/>
        <v>1119865</v>
      </c>
      <c r="AQ41" s="125">
        <f t="shared" si="32"/>
        <v>235209</v>
      </c>
      <c r="AR41" s="513">
        <f t="shared" si="16"/>
        <v>0.9390174701</v>
      </c>
      <c r="AS41" s="125">
        <f t="shared" ref="AS41:AU41" si="33">SUM(AS5:AS40)</f>
        <v>1398305</v>
      </c>
      <c r="AT41" s="125">
        <f t="shared" si="33"/>
        <v>1155344</v>
      </c>
      <c r="AU41" s="125">
        <f t="shared" si="33"/>
        <v>242961</v>
      </c>
      <c r="AV41" s="514">
        <f t="shared" si="18"/>
        <v>0.8918162801</v>
      </c>
      <c r="AW41" s="125">
        <f t="shared" ref="AW41:AY41" si="34">SUM(AW5:AW40)</f>
        <v>1328017</v>
      </c>
      <c r="AX41" s="125">
        <f t="shared" si="34"/>
        <v>1090928</v>
      </c>
      <c r="AY41" s="125">
        <f t="shared" si="34"/>
        <v>237089</v>
      </c>
      <c r="AZ41" s="514">
        <f t="shared" si="20"/>
        <v>0.8657793387</v>
      </c>
      <c r="BA41" s="125">
        <f t="shared" ref="BA41:BC41" si="35">SUM(BA5:BA40)</f>
        <v>1289245</v>
      </c>
      <c r="BB41" s="125">
        <f t="shared" si="35"/>
        <v>1044415</v>
      </c>
      <c r="BC41" s="125">
        <f t="shared" si="35"/>
        <v>244830</v>
      </c>
      <c r="BD41" s="515">
        <f t="shared" si="22"/>
        <v>0.6259341958</v>
      </c>
      <c r="BE41" s="125">
        <f t="shared" ref="BE41:BG41" si="36">SUM(BE5:BE40)</f>
        <v>932088</v>
      </c>
      <c r="BF41" s="125">
        <f t="shared" si="36"/>
        <v>721134</v>
      </c>
      <c r="BG41" s="125">
        <f t="shared" si="36"/>
        <v>210954</v>
      </c>
      <c r="BH41" s="515">
        <f t="shared" si="24"/>
        <v>0.5840979374</v>
      </c>
      <c r="BI41" s="125">
        <f t="shared" ref="BI41:BJ41" si="37">SUM(BI3:BI40)</f>
        <v>869789</v>
      </c>
      <c r="BJ41" s="125">
        <f t="shared" si="37"/>
        <v>783607</v>
      </c>
      <c r="BK41" s="228">
        <f t="shared" si="25"/>
        <v>86182</v>
      </c>
      <c r="BL41" s="114">
        <f>SUM(BL3:BL40)</f>
        <v>775343</v>
      </c>
      <c r="BM41" s="228">
        <v>0.0</v>
      </c>
      <c r="BN41" s="228">
        <f>SUM(BN3:BN40)</f>
        <v>82099</v>
      </c>
      <c r="BO41" s="516"/>
      <c r="BP41" s="516"/>
      <c r="BR41" s="516"/>
      <c r="BS41" s="517"/>
      <c r="BT41" s="517"/>
      <c r="BU41" s="517"/>
      <c r="BV41" s="517"/>
      <c r="BW41" s="517"/>
      <c r="BX41" s="517"/>
      <c r="BY41" s="517"/>
      <c r="BZ41" s="517"/>
      <c r="CA41" s="517"/>
      <c r="CB41" s="517"/>
      <c r="CC41" s="517"/>
      <c r="CD41" s="517"/>
      <c r="CE41" s="517"/>
      <c r="CF41" s="517"/>
      <c r="CG41" s="517"/>
      <c r="CH41" s="517"/>
      <c r="CI41" s="517"/>
      <c r="CJ41" s="517"/>
      <c r="CK41" s="517"/>
      <c r="CL41" s="517"/>
    </row>
    <row r="42" ht="14.25" customHeight="1">
      <c r="F42" s="53">
        <f>(F41/D41)</f>
        <v>0.1707907045</v>
      </c>
      <c r="I42" s="518">
        <f t="shared" ref="I42:J42" si="38">I41/E41</f>
        <v>0.7599919986</v>
      </c>
      <c r="J42" s="518">
        <f t="shared" si="38"/>
        <v>0.8049676204</v>
      </c>
      <c r="M42" s="183"/>
      <c r="O42" s="246">
        <f t="shared" ref="O42:P42" si="39">O41/E41</f>
        <v>0.2719908195</v>
      </c>
      <c r="P42" s="246">
        <f t="shared" si="39"/>
        <v>0.5532011937</v>
      </c>
      <c r="T42" s="183"/>
      <c r="V42" s="246">
        <f t="shared" ref="V42:W42" si="40">V41/E41</f>
        <v>0.2894934191</v>
      </c>
      <c r="W42" s="246">
        <f t="shared" si="40"/>
        <v>0.580064248</v>
      </c>
      <c r="X42" s="246"/>
      <c r="Y42" s="246">
        <f t="shared" ref="Y42:AA42" si="41">Y41/D41</f>
        <v>0.718409928</v>
      </c>
      <c r="Z42" s="246">
        <f t="shared" si="41"/>
        <v>0.7364073833</v>
      </c>
      <c r="AA42" s="246">
        <f t="shared" si="41"/>
        <v>0.6310301305</v>
      </c>
      <c r="AD42" s="183"/>
      <c r="AE42" s="246">
        <f t="shared" ref="AE42:AG42" si="42">AE41/D41</f>
        <v>0.4972047156</v>
      </c>
      <c r="AF42" s="246">
        <f t="shared" si="42"/>
        <v>0.5138898337</v>
      </c>
      <c r="AG42" s="246">
        <f t="shared" si="42"/>
        <v>0.4161964715</v>
      </c>
      <c r="AL42" s="246">
        <f t="shared" ref="AL42:AM42" si="43">AL41/E41</f>
        <v>0.9567569494</v>
      </c>
      <c r="AM42" s="246">
        <f t="shared" si="43"/>
        <v>0.9718236758</v>
      </c>
      <c r="AO42" s="246"/>
      <c r="AP42" s="246">
        <f t="shared" ref="AP42:AQ42" si="44">AP41/E41</f>
        <v>0.9069289627</v>
      </c>
      <c r="AQ42" s="246">
        <f t="shared" si="44"/>
        <v>0.9248290587</v>
      </c>
      <c r="AR42" s="183"/>
      <c r="AT42" s="246">
        <f t="shared" ref="AT42:AU42" si="45">AT41/E41</f>
        <v>0.9356618302</v>
      </c>
      <c r="AU42" s="246">
        <f t="shared" si="45"/>
        <v>0.9553095031</v>
      </c>
      <c r="AV42" s="246"/>
      <c r="AW42" s="246">
        <f t="shared" ref="AW42:AY42" si="46">AW41/D41</f>
        <v>0.8918162801</v>
      </c>
      <c r="AX42" s="246">
        <f t="shared" si="46"/>
        <v>0.8834941707</v>
      </c>
      <c r="AY42" s="246">
        <f t="shared" si="46"/>
        <v>0.9322211169</v>
      </c>
      <c r="AZ42" s="185"/>
      <c r="BB42" s="246">
        <f t="shared" ref="BB42:BC42" si="47">BB41/E41</f>
        <v>0.8458253563</v>
      </c>
      <c r="BC42" s="246">
        <f t="shared" si="47"/>
        <v>0.96265831</v>
      </c>
      <c r="BD42" s="185"/>
      <c r="BF42" s="246">
        <f t="shared" ref="BF42:BG42" si="48">BF41/E41</f>
        <v>0.5840144219</v>
      </c>
      <c r="BG42" s="246">
        <f t="shared" si="48"/>
        <v>0.8294597113</v>
      </c>
      <c r="BH42" s="185"/>
      <c r="BJ42" s="246">
        <f t="shared" ref="BJ42:BK42" si="49">BJ41/E41</f>
        <v>0.634608532</v>
      </c>
      <c r="BK42" s="246">
        <f t="shared" si="49"/>
        <v>0.3388629599</v>
      </c>
      <c r="BL42" s="246">
        <f>BL41/BI41</f>
        <v>0.8914150443</v>
      </c>
    </row>
    <row r="43" ht="14.25" customHeight="1"/>
    <row r="44" ht="14.25" customHeight="1"/>
    <row r="45" ht="14.25" customHeight="1"/>
    <row r="46" ht="14.25" customHeight="1">
      <c r="BD46" s="2"/>
      <c r="BE46" s="2" t="s">
        <v>232</v>
      </c>
      <c r="BH46" s="2"/>
      <c r="BI46" s="2" t="s">
        <v>232</v>
      </c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">
    <mergeCell ref="A1:C1"/>
    <mergeCell ref="A3:A4"/>
    <mergeCell ref="B3:B4"/>
    <mergeCell ref="C3:C4"/>
    <mergeCell ref="D3:F3"/>
    <mergeCell ref="G3:L3"/>
    <mergeCell ref="M3:P3"/>
    <mergeCell ref="AV3:AY3"/>
    <mergeCell ref="AZ3:BC3"/>
    <mergeCell ref="BD3:BG3"/>
    <mergeCell ref="BH3:BN3"/>
    <mergeCell ref="Q3:S3"/>
    <mergeCell ref="T3:W3"/>
    <mergeCell ref="X3:AC3"/>
    <mergeCell ref="AD3:AI3"/>
    <mergeCell ref="AJ3:AM3"/>
    <mergeCell ref="AN3:AQ3"/>
    <mergeCell ref="AR3:AU3"/>
  </mergeCells>
  <conditionalFormatting sqref="AV5:AV41">
    <cfRule type="cellIs" dxfId="0" priority="1" operator="greaterThanOrEqual">
      <formula>"97%"</formula>
    </cfRule>
  </conditionalFormatting>
  <conditionalFormatting sqref="AR5:AR41">
    <cfRule type="cellIs" dxfId="0" priority="2" operator="lessThanOrEqual">
      <formula>"75%"</formula>
    </cfRule>
  </conditionalFormatting>
  <conditionalFormatting sqref="AN5:AN41">
    <cfRule type="cellIs" dxfId="0" priority="3" operator="lessThan">
      <formula>"75%"</formula>
    </cfRule>
  </conditionalFormatting>
  <conditionalFormatting sqref="AZ5:AZ41">
    <cfRule type="cellIs" dxfId="0" priority="4" operator="lessThanOrEqual">
      <formula>"75%"</formula>
    </cfRule>
  </conditionalFormatting>
  <conditionalFormatting sqref="BD5:BD41">
    <cfRule type="cellIs" dxfId="0" priority="5" operator="lessThanOrEqual">
      <formula>"60%"</formula>
    </cfRule>
  </conditionalFormatting>
  <conditionalFormatting sqref="H5:H41">
    <cfRule type="cellIs" dxfId="0" priority="6" operator="lessThanOrEqual">
      <formula>"50%"</formula>
    </cfRule>
  </conditionalFormatting>
  <conditionalFormatting sqref="G5:G41">
    <cfRule type="cellIs" dxfId="0" priority="7" operator="lessThanOrEqual">
      <formula>"50%"</formula>
    </cfRule>
  </conditionalFormatting>
  <conditionalFormatting sqref="G5:G41">
    <cfRule type="cellIs" dxfId="3" priority="8" operator="greaterThanOrEqual">
      <formula>"95%"</formula>
    </cfRule>
  </conditionalFormatting>
  <conditionalFormatting sqref="M5:M41">
    <cfRule type="cellIs" dxfId="0" priority="9" operator="greaterThanOrEqual">
      <formula>"90%"</formula>
    </cfRule>
  </conditionalFormatting>
  <conditionalFormatting sqref="M5:M41">
    <cfRule type="cellIs" dxfId="3" priority="10" operator="lessThanOrEqual">
      <formula>"20%"</formula>
    </cfRule>
  </conditionalFormatting>
  <conditionalFormatting sqref="BH5:BH41">
    <cfRule type="cellIs" dxfId="0" priority="11" operator="lessThanOrEqual">
      <formula>"50%"</formula>
    </cfRule>
  </conditionalFormatting>
  <conditionalFormatting sqref="BH5:BH40">
    <cfRule type="cellIs" dxfId="3" priority="12" operator="greaterThanOrEqual">
      <formula>"70%"</formula>
    </cfRule>
  </conditionalFormatting>
  <conditionalFormatting sqref="AD5:AD41">
    <cfRule type="cellIs" dxfId="0" priority="13" operator="greaterThanOrEqual">
      <formula>"60%"</formula>
    </cfRule>
  </conditionalFormatting>
  <conditionalFormatting sqref="AD5:AD41">
    <cfRule type="cellIs" dxfId="3" priority="14" operator="lessThanOrEqual">
      <formula>"40%"</formula>
    </cfRule>
  </conditionalFormatting>
  <conditionalFormatting sqref="T5:T41">
    <cfRule type="cellIs" dxfId="0" priority="15" operator="lessThanOrEqual">
      <formula>"15%"</formula>
    </cfRule>
  </conditionalFormatting>
  <conditionalFormatting sqref="T5:T41">
    <cfRule type="cellIs" dxfId="3" priority="16" operator="greaterThanOrEqual">
      <formula>"40%"</formula>
    </cfRule>
  </conditionalFormatting>
  <printOptions/>
  <pageMargins bottom="0.75" footer="0.0" header="0.0" left="0.7" right="0.7" top="0.75"/>
  <pageSetup orientation="portrait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 ht="61.5" customHeight="1">
      <c r="A1" s="330" t="s">
        <v>464</v>
      </c>
      <c r="B1" s="330" t="s">
        <v>511</v>
      </c>
      <c r="C1" s="330" t="s">
        <v>512</v>
      </c>
      <c r="D1" s="330" t="s">
        <v>464</v>
      </c>
      <c r="E1" s="330" t="s">
        <v>511</v>
      </c>
      <c r="F1" s="330" t="s">
        <v>512</v>
      </c>
      <c r="G1" s="330" t="s">
        <v>464</v>
      </c>
      <c r="H1" s="330" t="s">
        <v>511</v>
      </c>
      <c r="I1" s="330" t="s">
        <v>512</v>
      </c>
      <c r="J1" s="330" t="s">
        <v>464</v>
      </c>
      <c r="K1" s="330" t="s">
        <v>511</v>
      </c>
      <c r="L1" s="330" t="s">
        <v>512</v>
      </c>
      <c r="M1" s="330" t="s">
        <v>464</v>
      </c>
      <c r="N1" s="330" t="s">
        <v>511</v>
      </c>
      <c r="O1" s="330" t="s">
        <v>512</v>
      </c>
      <c r="P1" s="330" t="s">
        <v>464</v>
      </c>
      <c r="Q1" s="330" t="s">
        <v>511</v>
      </c>
      <c r="R1" s="330" t="s">
        <v>512</v>
      </c>
      <c r="S1" s="330" t="s">
        <v>464</v>
      </c>
      <c r="T1" s="330" t="s">
        <v>511</v>
      </c>
      <c r="U1" s="330" t="s">
        <v>512</v>
      </c>
      <c r="V1" s="330" t="s">
        <v>464</v>
      </c>
      <c r="W1" s="330" t="s">
        <v>511</v>
      </c>
      <c r="X1" s="330" t="s">
        <v>512</v>
      </c>
      <c r="Y1" s="330" t="s">
        <v>464</v>
      </c>
      <c r="Z1" s="330" t="s">
        <v>511</v>
      </c>
      <c r="AA1" s="330" t="s">
        <v>512</v>
      </c>
      <c r="AB1" s="330" t="s">
        <v>464</v>
      </c>
      <c r="AC1" s="330" t="s">
        <v>511</v>
      </c>
      <c r="AD1" s="330" t="s">
        <v>512</v>
      </c>
      <c r="AE1" s="166"/>
      <c r="AF1" s="166"/>
      <c r="AG1" s="166"/>
    </row>
    <row r="2">
      <c r="A2" s="226" t="s">
        <v>152</v>
      </c>
      <c r="B2" s="226" t="s">
        <v>513</v>
      </c>
      <c r="C2" s="226">
        <v>450.0</v>
      </c>
      <c r="D2" s="226" t="s">
        <v>154</v>
      </c>
      <c r="E2" s="226" t="s">
        <v>514</v>
      </c>
      <c r="F2" s="226">
        <v>0.0</v>
      </c>
      <c r="G2" s="226" t="s">
        <v>157</v>
      </c>
      <c r="H2" s="226" t="s">
        <v>515</v>
      </c>
      <c r="I2" s="226">
        <v>99.0</v>
      </c>
      <c r="J2" s="226" t="s">
        <v>166</v>
      </c>
      <c r="K2" s="226" t="s">
        <v>516</v>
      </c>
      <c r="L2" s="519">
        <v>3350.0</v>
      </c>
      <c r="M2" s="226" t="s">
        <v>167</v>
      </c>
      <c r="N2" s="226" t="s">
        <v>517</v>
      </c>
      <c r="O2" s="226">
        <v>8.0</v>
      </c>
      <c r="P2" s="226" t="s">
        <v>172</v>
      </c>
      <c r="Q2" s="226" t="s">
        <v>518</v>
      </c>
      <c r="R2" s="226">
        <v>5.0</v>
      </c>
      <c r="S2" s="226" t="s">
        <v>175</v>
      </c>
      <c r="T2" s="226" t="s">
        <v>519</v>
      </c>
      <c r="U2" s="226">
        <v>733.0</v>
      </c>
      <c r="V2" s="226" t="s">
        <v>177</v>
      </c>
      <c r="W2" s="226" t="s">
        <v>520</v>
      </c>
      <c r="X2" s="226">
        <v>498.0</v>
      </c>
      <c r="Y2" s="226" t="s">
        <v>179</v>
      </c>
      <c r="Z2" s="226" t="s">
        <v>521</v>
      </c>
      <c r="AA2" s="226">
        <v>1263.0</v>
      </c>
      <c r="AB2" s="226" t="s">
        <v>183</v>
      </c>
      <c r="AC2" s="226" t="s">
        <v>522</v>
      </c>
      <c r="AD2" s="226">
        <v>522.0</v>
      </c>
    </row>
    <row r="3">
      <c r="A3" s="388"/>
      <c r="B3" s="226" t="s">
        <v>523</v>
      </c>
      <c r="C3" s="226">
        <v>752.0</v>
      </c>
      <c r="D3" s="388"/>
      <c r="E3" s="226" t="s">
        <v>524</v>
      </c>
      <c r="F3" s="226">
        <v>0.0</v>
      </c>
      <c r="G3" s="388"/>
      <c r="H3" s="226" t="s">
        <v>525</v>
      </c>
      <c r="I3" s="226">
        <v>147.0</v>
      </c>
      <c r="J3" s="388"/>
      <c r="K3" s="226" t="s">
        <v>526</v>
      </c>
      <c r="L3" s="226">
        <v>3347.0</v>
      </c>
      <c r="M3" s="388"/>
      <c r="N3" s="226" t="s">
        <v>527</v>
      </c>
      <c r="O3" s="226">
        <v>8.0</v>
      </c>
      <c r="P3" s="388"/>
      <c r="Q3" s="226" t="s">
        <v>528</v>
      </c>
      <c r="R3" s="226">
        <v>15.0</v>
      </c>
      <c r="S3" s="388"/>
      <c r="T3" s="226" t="s">
        <v>529</v>
      </c>
      <c r="U3" s="226">
        <v>314.0</v>
      </c>
      <c r="V3" s="388"/>
      <c r="W3" s="226" t="s">
        <v>530</v>
      </c>
      <c r="X3" s="226">
        <v>1483.0</v>
      </c>
      <c r="Y3" s="388"/>
      <c r="Z3" s="226" t="s">
        <v>531</v>
      </c>
      <c r="AA3" s="226">
        <v>366.0</v>
      </c>
      <c r="AB3" s="388"/>
      <c r="AC3" s="226" t="s">
        <v>532</v>
      </c>
      <c r="AD3" s="226">
        <v>470.0</v>
      </c>
    </row>
    <row r="4">
      <c r="A4" s="388"/>
      <c r="B4" s="226" t="s">
        <v>533</v>
      </c>
      <c r="C4" s="226">
        <v>2876.0</v>
      </c>
      <c r="D4" s="388"/>
      <c r="E4" s="226" t="s">
        <v>534</v>
      </c>
      <c r="F4" s="226">
        <v>7.0</v>
      </c>
      <c r="G4" s="388"/>
      <c r="H4" s="226" t="s">
        <v>535</v>
      </c>
      <c r="I4" s="226">
        <v>151.0</v>
      </c>
      <c r="J4" s="388"/>
      <c r="K4" s="226" t="s">
        <v>536</v>
      </c>
      <c r="L4" s="226">
        <v>3909.0</v>
      </c>
      <c r="M4" s="388"/>
      <c r="N4" s="226" t="s">
        <v>537</v>
      </c>
      <c r="O4" s="226">
        <v>7.0</v>
      </c>
      <c r="P4" s="388"/>
      <c r="Q4" s="226" t="s">
        <v>538</v>
      </c>
      <c r="R4" s="226">
        <v>21.0</v>
      </c>
      <c r="S4" s="388"/>
      <c r="T4" s="226" t="s">
        <v>539</v>
      </c>
      <c r="U4" s="226">
        <v>148.0</v>
      </c>
      <c r="V4" s="388"/>
      <c r="W4" s="226" t="s">
        <v>540</v>
      </c>
      <c r="X4" s="226">
        <v>722.0</v>
      </c>
      <c r="Y4" s="388"/>
      <c r="Z4" s="226" t="s">
        <v>541</v>
      </c>
      <c r="AA4" s="226">
        <v>929.0</v>
      </c>
      <c r="AB4" s="388"/>
      <c r="AC4" s="226" t="s">
        <v>542</v>
      </c>
      <c r="AD4" s="226">
        <v>348.0</v>
      </c>
    </row>
    <row r="5">
      <c r="A5" s="388"/>
      <c r="B5" s="226" t="s">
        <v>543</v>
      </c>
      <c r="C5" s="226">
        <v>1324.0</v>
      </c>
      <c r="D5" s="388"/>
      <c r="E5" s="226" t="s">
        <v>544</v>
      </c>
      <c r="F5" s="226">
        <v>0.0</v>
      </c>
      <c r="G5" s="388"/>
      <c r="H5" s="226" t="s">
        <v>545</v>
      </c>
      <c r="I5" s="226">
        <v>254.0</v>
      </c>
      <c r="J5" s="388"/>
      <c r="K5" s="226" t="s">
        <v>546</v>
      </c>
      <c r="L5" s="226">
        <v>2610.0</v>
      </c>
      <c r="M5" s="388"/>
      <c r="N5" s="226" t="s">
        <v>547</v>
      </c>
      <c r="O5" s="226">
        <v>1.0</v>
      </c>
      <c r="P5" s="388"/>
      <c r="Q5" s="226" t="s">
        <v>548</v>
      </c>
      <c r="R5" s="226">
        <v>104.0</v>
      </c>
      <c r="S5" s="388"/>
      <c r="T5" s="226" t="s">
        <v>549</v>
      </c>
      <c r="U5" s="226">
        <v>186.0</v>
      </c>
      <c r="V5" s="388"/>
      <c r="W5" s="226" t="s">
        <v>550</v>
      </c>
      <c r="X5" s="226">
        <v>712.0</v>
      </c>
      <c r="Y5" s="388"/>
      <c r="Z5" s="226" t="s">
        <v>551</v>
      </c>
      <c r="AA5" s="226">
        <v>524.0</v>
      </c>
      <c r="AB5" s="388"/>
      <c r="AC5" s="226" t="s">
        <v>552</v>
      </c>
      <c r="AD5" s="226">
        <v>491.0</v>
      </c>
    </row>
    <row r="6">
      <c r="A6" s="388"/>
      <c r="B6" s="226" t="s">
        <v>553</v>
      </c>
      <c r="C6" s="226">
        <v>1279.0</v>
      </c>
      <c r="D6" s="388"/>
      <c r="E6" s="226" t="s">
        <v>554</v>
      </c>
      <c r="F6" s="226">
        <v>0.0</v>
      </c>
      <c r="G6" s="388"/>
      <c r="H6" s="226" t="s">
        <v>555</v>
      </c>
      <c r="I6" s="226">
        <v>78.0</v>
      </c>
      <c r="J6" s="388"/>
      <c r="K6" s="226" t="s">
        <v>556</v>
      </c>
      <c r="L6" s="226">
        <v>3376.0</v>
      </c>
      <c r="M6" s="388"/>
      <c r="N6" s="226" t="s">
        <v>557</v>
      </c>
      <c r="O6" s="226">
        <v>3.0</v>
      </c>
      <c r="P6" s="388"/>
      <c r="Q6" s="226" t="s">
        <v>558</v>
      </c>
      <c r="R6" s="226">
        <v>80.0</v>
      </c>
      <c r="S6" s="388"/>
      <c r="T6" s="226" t="s">
        <v>559</v>
      </c>
      <c r="U6" s="226">
        <v>475.0</v>
      </c>
      <c r="V6" s="388"/>
      <c r="W6" s="226" t="s">
        <v>560</v>
      </c>
      <c r="X6" s="226">
        <v>1619.0</v>
      </c>
      <c r="Y6" s="388"/>
      <c r="Z6" s="226" t="s">
        <v>561</v>
      </c>
      <c r="AA6" s="226">
        <v>396.0</v>
      </c>
      <c r="AB6" s="388"/>
      <c r="AC6" s="226" t="s">
        <v>562</v>
      </c>
      <c r="AD6" s="226">
        <v>491.0</v>
      </c>
    </row>
    <row r="7">
      <c r="A7" s="388"/>
      <c r="B7" s="226" t="s">
        <v>563</v>
      </c>
      <c r="C7" s="226">
        <v>3807.0</v>
      </c>
      <c r="D7" s="388"/>
      <c r="E7" s="226" t="s">
        <v>564</v>
      </c>
      <c r="F7" s="226">
        <v>0.0</v>
      </c>
      <c r="G7" s="388"/>
      <c r="H7" s="226" t="s">
        <v>565</v>
      </c>
      <c r="I7" s="226">
        <v>370.0</v>
      </c>
      <c r="J7" s="388"/>
      <c r="K7" s="226" t="s">
        <v>566</v>
      </c>
      <c r="L7" s="226">
        <v>3351.0</v>
      </c>
      <c r="M7" s="388"/>
      <c r="N7" s="226" t="s">
        <v>567</v>
      </c>
      <c r="O7" s="226">
        <v>168.0</v>
      </c>
      <c r="P7" s="388"/>
      <c r="Q7" s="226" t="s">
        <v>568</v>
      </c>
      <c r="R7" s="226">
        <v>24.0</v>
      </c>
      <c r="S7" s="388"/>
      <c r="T7" s="226" t="s">
        <v>569</v>
      </c>
      <c r="U7" s="226">
        <v>652.0</v>
      </c>
      <c r="V7" s="388"/>
      <c r="W7" s="226" t="s">
        <v>570</v>
      </c>
      <c r="X7" s="226">
        <v>328.0</v>
      </c>
      <c r="Y7" s="388"/>
      <c r="Z7" s="226" t="s">
        <v>571</v>
      </c>
      <c r="AA7" s="226">
        <v>629.0</v>
      </c>
      <c r="AB7" s="388"/>
      <c r="AC7" s="226" t="s">
        <v>572</v>
      </c>
      <c r="AD7" s="226">
        <v>318.0</v>
      </c>
    </row>
    <row r="8">
      <c r="A8" s="388"/>
      <c r="B8" s="226" t="s">
        <v>573</v>
      </c>
      <c r="C8" s="226">
        <v>479.0</v>
      </c>
      <c r="D8" s="388"/>
      <c r="E8" s="226" t="s">
        <v>574</v>
      </c>
      <c r="F8" s="226">
        <v>3.0</v>
      </c>
      <c r="G8" s="388"/>
      <c r="H8" s="226" t="s">
        <v>575</v>
      </c>
      <c r="I8" s="226">
        <v>77.0</v>
      </c>
      <c r="J8" s="388"/>
      <c r="K8" s="226" t="s">
        <v>576</v>
      </c>
      <c r="L8" s="226">
        <v>6247.0</v>
      </c>
      <c r="M8" s="388"/>
      <c r="N8" s="226" t="s">
        <v>577</v>
      </c>
      <c r="O8" s="226">
        <v>228.0</v>
      </c>
      <c r="P8" s="388"/>
      <c r="Q8" s="226" t="s">
        <v>578</v>
      </c>
      <c r="R8" s="226">
        <v>33.0</v>
      </c>
      <c r="S8" s="388"/>
      <c r="T8" s="226" t="s">
        <v>579</v>
      </c>
      <c r="U8" s="226">
        <v>775.0</v>
      </c>
      <c r="V8" s="388"/>
      <c r="W8" s="226" t="s">
        <v>580</v>
      </c>
      <c r="X8" s="226">
        <v>1016.0</v>
      </c>
      <c r="Y8" s="388"/>
      <c r="Z8" s="226" t="s">
        <v>581</v>
      </c>
      <c r="AA8" s="226">
        <v>816.0</v>
      </c>
      <c r="AB8" s="388"/>
      <c r="AC8" s="226" t="s">
        <v>582</v>
      </c>
      <c r="AD8" s="226">
        <v>194.0</v>
      </c>
    </row>
    <row r="9">
      <c r="A9" s="388"/>
      <c r="B9" s="226" t="s">
        <v>583</v>
      </c>
      <c r="C9" s="226">
        <v>454.0</v>
      </c>
      <c r="D9" s="388"/>
      <c r="E9" s="226" t="s">
        <v>584</v>
      </c>
      <c r="F9" s="226">
        <v>0.0</v>
      </c>
      <c r="G9" s="388"/>
      <c r="H9" s="226" t="s">
        <v>585</v>
      </c>
      <c r="I9" s="226">
        <v>151.0</v>
      </c>
      <c r="J9" s="388"/>
      <c r="K9" s="226" t="s">
        <v>586</v>
      </c>
      <c r="L9" s="226">
        <v>2140.0</v>
      </c>
      <c r="M9" s="388"/>
      <c r="N9" s="226" t="s">
        <v>587</v>
      </c>
      <c r="O9" s="226">
        <v>17.0</v>
      </c>
      <c r="P9" s="388"/>
      <c r="Q9" s="226" t="s">
        <v>588</v>
      </c>
      <c r="R9" s="226">
        <v>25.0</v>
      </c>
      <c r="S9" s="388"/>
      <c r="T9" s="226" t="s">
        <v>589</v>
      </c>
      <c r="U9" s="226">
        <v>657.0</v>
      </c>
      <c r="V9" s="388"/>
      <c r="W9" s="226" t="s">
        <v>590</v>
      </c>
      <c r="X9" s="226">
        <v>125.0</v>
      </c>
      <c r="Y9" s="388"/>
      <c r="Z9" s="226" t="s">
        <v>591</v>
      </c>
      <c r="AA9" s="226">
        <v>1175.0</v>
      </c>
      <c r="AB9" s="388"/>
      <c r="AC9" s="226" t="s">
        <v>592</v>
      </c>
      <c r="AD9" s="226">
        <v>260.0</v>
      </c>
    </row>
    <row r="10">
      <c r="A10" s="388"/>
      <c r="B10" s="226" t="s">
        <v>593</v>
      </c>
      <c r="C10" s="226">
        <v>2657.0</v>
      </c>
      <c r="D10" s="388"/>
      <c r="E10" s="226" t="s">
        <v>594</v>
      </c>
      <c r="F10" s="226">
        <v>0.0</v>
      </c>
      <c r="G10" s="388"/>
      <c r="H10" s="226" t="s">
        <v>595</v>
      </c>
      <c r="I10" s="226">
        <v>67.0</v>
      </c>
      <c r="J10" s="388"/>
      <c r="K10" s="226" t="s">
        <v>596</v>
      </c>
      <c r="L10" s="226">
        <v>2311.0</v>
      </c>
      <c r="M10" s="388"/>
      <c r="N10" s="226" t="s">
        <v>597</v>
      </c>
      <c r="O10" s="226">
        <v>3.0</v>
      </c>
      <c r="P10" s="388"/>
      <c r="Q10" s="226" t="s">
        <v>598</v>
      </c>
      <c r="R10" s="226">
        <v>8.0</v>
      </c>
      <c r="S10" s="388"/>
      <c r="T10" s="226" t="s">
        <v>599</v>
      </c>
      <c r="U10" s="226">
        <v>468.0</v>
      </c>
      <c r="V10" s="388"/>
      <c r="W10" s="226" t="s">
        <v>600</v>
      </c>
      <c r="X10" s="226">
        <v>528.0</v>
      </c>
      <c r="Y10" s="388"/>
      <c r="Z10" s="226" t="s">
        <v>601</v>
      </c>
      <c r="AA10" s="226">
        <v>787.0</v>
      </c>
      <c r="AB10" s="388"/>
      <c r="AC10" s="226" t="s">
        <v>602</v>
      </c>
      <c r="AD10" s="226">
        <v>567.0</v>
      </c>
    </row>
    <row r="11">
      <c r="A11" s="388"/>
      <c r="B11" s="226" t="s">
        <v>603</v>
      </c>
      <c r="C11" s="226">
        <v>2194.0</v>
      </c>
      <c r="D11" s="388"/>
      <c r="E11" s="226" t="s">
        <v>604</v>
      </c>
      <c r="F11" s="226">
        <v>3.0</v>
      </c>
      <c r="G11" s="388"/>
      <c r="H11" s="226" t="s">
        <v>605</v>
      </c>
      <c r="I11" s="226">
        <v>197.0</v>
      </c>
      <c r="J11" s="388"/>
      <c r="K11" s="226" t="s">
        <v>606</v>
      </c>
      <c r="L11" s="226">
        <v>3812.0</v>
      </c>
      <c r="M11" s="388"/>
      <c r="N11" s="226" t="s">
        <v>607</v>
      </c>
      <c r="O11" s="226">
        <v>4.0</v>
      </c>
      <c r="P11" s="388"/>
      <c r="Q11" s="226" t="s">
        <v>608</v>
      </c>
      <c r="R11" s="226">
        <v>49.0</v>
      </c>
      <c r="S11" s="388"/>
      <c r="T11" s="226" t="s">
        <v>609</v>
      </c>
      <c r="U11" s="226">
        <v>280.0</v>
      </c>
      <c r="V11" s="388"/>
      <c r="W11" s="226" t="s">
        <v>610</v>
      </c>
      <c r="X11" s="226">
        <v>1075.0</v>
      </c>
      <c r="Y11" s="388"/>
      <c r="Z11" s="226" t="s">
        <v>611</v>
      </c>
      <c r="AA11" s="226">
        <v>801.0</v>
      </c>
      <c r="AB11" s="388"/>
      <c r="AC11" s="226" t="s">
        <v>612</v>
      </c>
      <c r="AD11" s="226">
        <v>432.0</v>
      </c>
    </row>
    <row r="12">
      <c r="A12" s="388"/>
      <c r="B12" s="226" t="s">
        <v>613</v>
      </c>
      <c r="C12" s="226">
        <v>2638.0</v>
      </c>
      <c r="D12" s="388"/>
      <c r="E12" s="226" t="s">
        <v>614</v>
      </c>
      <c r="F12" s="226">
        <v>1.0</v>
      </c>
      <c r="G12" s="388"/>
      <c r="H12" s="226" t="s">
        <v>615</v>
      </c>
      <c r="I12" s="226">
        <v>99.0</v>
      </c>
      <c r="J12" s="388"/>
      <c r="K12" s="226" t="s">
        <v>616</v>
      </c>
      <c r="L12" s="226">
        <v>1925.0</v>
      </c>
      <c r="M12" s="388"/>
      <c r="N12" s="226" t="s">
        <v>617</v>
      </c>
      <c r="O12" s="226">
        <v>0.0</v>
      </c>
      <c r="P12" s="388"/>
      <c r="Q12" s="226" t="s">
        <v>618</v>
      </c>
      <c r="R12" s="226">
        <v>22.0</v>
      </c>
      <c r="S12" s="388"/>
      <c r="T12" s="226" t="s">
        <v>619</v>
      </c>
      <c r="U12" s="226">
        <v>234.0</v>
      </c>
      <c r="V12" s="388"/>
      <c r="W12" s="226" t="s">
        <v>620</v>
      </c>
      <c r="X12" s="226">
        <v>2308.0</v>
      </c>
      <c r="Y12" s="388"/>
      <c r="Z12" s="226" t="s">
        <v>621</v>
      </c>
      <c r="AA12" s="226">
        <v>442.0</v>
      </c>
      <c r="AB12" s="388"/>
      <c r="AC12" s="226" t="s">
        <v>622</v>
      </c>
      <c r="AD12" s="226">
        <v>562.0</v>
      </c>
    </row>
    <row r="13">
      <c r="A13" s="388"/>
      <c r="B13" s="226" t="s">
        <v>623</v>
      </c>
      <c r="C13" s="226">
        <v>1244.0</v>
      </c>
      <c r="D13" s="388"/>
      <c r="E13" s="226" t="s">
        <v>624</v>
      </c>
      <c r="F13" s="226">
        <v>0.0</v>
      </c>
      <c r="G13" s="388"/>
      <c r="H13" s="226" t="s">
        <v>625</v>
      </c>
      <c r="I13" s="226">
        <v>106.0</v>
      </c>
      <c r="J13" s="388"/>
      <c r="K13" s="226" t="s">
        <v>626</v>
      </c>
      <c r="L13" s="226">
        <v>1054.0</v>
      </c>
      <c r="M13" s="388"/>
      <c r="N13" s="226" t="s">
        <v>627</v>
      </c>
      <c r="O13" s="226">
        <v>1.0</v>
      </c>
      <c r="P13" s="388"/>
      <c r="Q13" s="226" t="s">
        <v>628</v>
      </c>
      <c r="R13" s="226">
        <v>32.0</v>
      </c>
      <c r="S13" s="388"/>
      <c r="T13" s="388"/>
      <c r="U13" s="388"/>
      <c r="V13" s="388"/>
      <c r="W13" s="226" t="s">
        <v>629</v>
      </c>
      <c r="X13" s="226">
        <v>341.0</v>
      </c>
      <c r="Y13" s="388"/>
      <c r="Z13" s="226" t="s">
        <v>630</v>
      </c>
      <c r="AA13" s="226">
        <v>1168.0</v>
      </c>
      <c r="AB13" s="388"/>
      <c r="AC13" s="226" t="s">
        <v>631</v>
      </c>
      <c r="AD13" s="226">
        <v>371.0</v>
      </c>
    </row>
    <row r="14">
      <c r="A14" s="388"/>
      <c r="B14" s="226" t="s">
        <v>632</v>
      </c>
      <c r="C14" s="226">
        <v>498.0</v>
      </c>
      <c r="D14" s="388"/>
      <c r="E14" s="226" t="s">
        <v>633</v>
      </c>
      <c r="F14" s="226">
        <v>0.0</v>
      </c>
      <c r="G14" s="388"/>
      <c r="H14" s="226" t="s">
        <v>634</v>
      </c>
      <c r="I14" s="226">
        <v>225.0</v>
      </c>
      <c r="J14" s="388"/>
      <c r="K14" s="226" t="s">
        <v>635</v>
      </c>
      <c r="L14" s="226">
        <v>1711.0</v>
      </c>
      <c r="M14" s="388"/>
      <c r="N14" s="226" t="s">
        <v>636</v>
      </c>
      <c r="O14" s="226">
        <v>23.0</v>
      </c>
      <c r="P14" s="388"/>
      <c r="Q14" s="226" t="s">
        <v>637</v>
      </c>
      <c r="R14" s="226">
        <v>9.0</v>
      </c>
      <c r="S14" s="388"/>
      <c r="T14" s="388"/>
      <c r="U14" s="388"/>
      <c r="V14" s="388"/>
      <c r="W14" s="226" t="s">
        <v>638</v>
      </c>
      <c r="X14" s="226">
        <v>1192.0</v>
      </c>
      <c r="Y14" s="388"/>
      <c r="Z14" s="226" t="s">
        <v>639</v>
      </c>
      <c r="AA14" s="226">
        <v>195.0</v>
      </c>
      <c r="AB14" s="388"/>
      <c r="AC14" s="226" t="s">
        <v>640</v>
      </c>
      <c r="AD14" s="226">
        <v>434.0</v>
      </c>
    </row>
    <row r="15">
      <c r="A15" s="388"/>
      <c r="B15" s="226" t="s">
        <v>641</v>
      </c>
      <c r="C15" s="226">
        <v>2278.0</v>
      </c>
      <c r="D15" s="388"/>
      <c r="E15" s="226" t="s">
        <v>642</v>
      </c>
      <c r="F15" s="226">
        <v>0.0</v>
      </c>
      <c r="G15" s="388"/>
      <c r="H15" s="226" t="s">
        <v>643</v>
      </c>
      <c r="I15" s="226">
        <v>45.0</v>
      </c>
      <c r="J15" s="388"/>
      <c r="K15" s="226" t="s">
        <v>644</v>
      </c>
      <c r="L15" s="226">
        <v>1534.0</v>
      </c>
      <c r="M15" s="388"/>
      <c r="N15" s="226" t="s">
        <v>645</v>
      </c>
      <c r="O15" s="226">
        <v>21.0</v>
      </c>
      <c r="P15" s="388"/>
      <c r="Q15" s="226" t="s">
        <v>646</v>
      </c>
      <c r="R15" s="226">
        <v>80.0</v>
      </c>
      <c r="S15" s="388"/>
      <c r="T15" s="388"/>
      <c r="U15" s="388"/>
      <c r="V15" s="388"/>
      <c r="W15" s="226" t="s">
        <v>647</v>
      </c>
      <c r="X15" s="226">
        <v>182.0</v>
      </c>
      <c r="Y15" s="388"/>
      <c r="Z15" s="226" t="s">
        <v>648</v>
      </c>
      <c r="AA15" s="226">
        <v>819.0</v>
      </c>
      <c r="AB15" s="388"/>
      <c r="AC15" s="226" t="s">
        <v>649</v>
      </c>
      <c r="AD15" s="226">
        <v>446.0</v>
      </c>
    </row>
    <row r="16">
      <c r="A16" s="388"/>
      <c r="B16" s="226" t="s">
        <v>650</v>
      </c>
      <c r="C16" s="226">
        <v>1194.0</v>
      </c>
      <c r="D16" s="388"/>
      <c r="E16" s="226" t="s">
        <v>651</v>
      </c>
      <c r="F16" s="226">
        <v>3.0</v>
      </c>
      <c r="G16" s="388"/>
      <c r="H16" s="226" t="s">
        <v>652</v>
      </c>
      <c r="I16" s="226">
        <v>137.0</v>
      </c>
      <c r="J16" s="388"/>
      <c r="K16" s="226" t="s">
        <v>653</v>
      </c>
      <c r="L16" s="226">
        <v>746.0</v>
      </c>
      <c r="M16" s="388"/>
      <c r="N16" s="226" t="s">
        <v>654</v>
      </c>
      <c r="O16" s="226">
        <v>13.0</v>
      </c>
      <c r="P16" s="388"/>
      <c r="Q16" s="226" t="s">
        <v>655</v>
      </c>
      <c r="R16" s="226">
        <v>15.0</v>
      </c>
      <c r="S16" s="388"/>
      <c r="T16" s="388"/>
      <c r="U16" s="388"/>
      <c r="V16" s="388"/>
      <c r="W16" s="226" t="s">
        <v>656</v>
      </c>
      <c r="X16" s="226">
        <v>1623.0</v>
      </c>
      <c r="Y16" s="388"/>
      <c r="Z16" s="226" t="s">
        <v>657</v>
      </c>
      <c r="AA16" s="226">
        <v>657.0</v>
      </c>
      <c r="AB16" s="388"/>
      <c r="AC16" s="226" t="s">
        <v>658</v>
      </c>
      <c r="AD16" s="226">
        <v>472.0</v>
      </c>
    </row>
    <row r="17">
      <c r="A17" s="388"/>
      <c r="B17" s="226" t="s">
        <v>659</v>
      </c>
      <c r="C17" s="226">
        <v>1249.0</v>
      </c>
      <c r="D17" s="388"/>
      <c r="E17" s="226" t="s">
        <v>660</v>
      </c>
      <c r="F17" s="226">
        <v>38.0</v>
      </c>
      <c r="G17" s="388"/>
      <c r="H17" s="226" t="s">
        <v>661</v>
      </c>
      <c r="I17" s="226">
        <v>108.0</v>
      </c>
      <c r="J17" s="388"/>
      <c r="K17" s="226" t="s">
        <v>662</v>
      </c>
      <c r="L17" s="226">
        <v>1722.0</v>
      </c>
      <c r="M17" s="388"/>
      <c r="N17" s="226" t="s">
        <v>663</v>
      </c>
      <c r="O17" s="226">
        <v>5.0</v>
      </c>
      <c r="P17" s="388"/>
      <c r="Q17" s="226" t="s">
        <v>664</v>
      </c>
      <c r="R17" s="226">
        <v>13.0</v>
      </c>
      <c r="S17" s="388"/>
      <c r="T17" s="388"/>
      <c r="U17" s="388"/>
      <c r="V17" s="388"/>
      <c r="W17" s="226" t="s">
        <v>665</v>
      </c>
      <c r="X17" s="226">
        <v>1139.0</v>
      </c>
      <c r="Y17" s="388"/>
      <c r="Z17" s="226" t="s">
        <v>666</v>
      </c>
      <c r="AA17" s="226">
        <v>488.0</v>
      </c>
      <c r="AB17" s="388"/>
      <c r="AC17" s="226" t="s">
        <v>667</v>
      </c>
      <c r="AD17" s="226">
        <v>406.0</v>
      </c>
    </row>
    <row r="18">
      <c r="A18" s="388"/>
      <c r="B18" s="226" t="s">
        <v>668</v>
      </c>
      <c r="C18" s="226">
        <v>1455.0</v>
      </c>
      <c r="D18" s="388"/>
      <c r="E18" s="226" t="s">
        <v>669</v>
      </c>
      <c r="F18" s="226">
        <v>0.0</v>
      </c>
      <c r="G18" s="388"/>
      <c r="H18" s="226" t="s">
        <v>670</v>
      </c>
      <c r="I18" s="226">
        <v>116.0</v>
      </c>
      <c r="J18" s="388"/>
      <c r="K18" s="226" t="s">
        <v>671</v>
      </c>
      <c r="L18" s="226">
        <v>5203.0</v>
      </c>
      <c r="M18" s="388"/>
      <c r="N18" s="226" t="s">
        <v>672</v>
      </c>
      <c r="O18" s="226">
        <v>1.0</v>
      </c>
      <c r="P18" s="388"/>
      <c r="Q18" s="226" t="s">
        <v>673</v>
      </c>
      <c r="R18" s="226">
        <v>474.0</v>
      </c>
      <c r="S18" s="388"/>
      <c r="T18" s="388"/>
      <c r="U18" s="388"/>
      <c r="V18" s="388"/>
      <c r="W18" s="226" t="s">
        <v>674</v>
      </c>
      <c r="X18" s="226">
        <v>1104.0</v>
      </c>
      <c r="Y18" s="388"/>
      <c r="Z18" s="226" t="s">
        <v>675</v>
      </c>
      <c r="AA18" s="226">
        <v>736.0</v>
      </c>
      <c r="AB18" s="388"/>
      <c r="AC18" s="226" t="s">
        <v>676</v>
      </c>
      <c r="AD18" s="226">
        <v>125.0</v>
      </c>
    </row>
    <row r="19">
      <c r="A19" s="388"/>
      <c r="B19" s="226" t="s">
        <v>677</v>
      </c>
      <c r="C19" s="226">
        <v>1207.0</v>
      </c>
      <c r="D19" s="388"/>
      <c r="E19" s="226" t="s">
        <v>678</v>
      </c>
      <c r="F19" s="226">
        <v>5.0</v>
      </c>
      <c r="G19" s="388"/>
      <c r="H19" s="226" t="s">
        <v>679</v>
      </c>
      <c r="I19" s="226">
        <v>142.0</v>
      </c>
      <c r="J19" s="388"/>
      <c r="K19" s="226" t="s">
        <v>680</v>
      </c>
      <c r="L19" s="226">
        <v>2215.0</v>
      </c>
      <c r="M19" s="388"/>
      <c r="N19" s="226" t="s">
        <v>681</v>
      </c>
      <c r="O19" s="226">
        <v>31.0</v>
      </c>
      <c r="P19" s="388"/>
      <c r="Q19" s="226" t="s">
        <v>682</v>
      </c>
      <c r="R19" s="226">
        <v>0.0</v>
      </c>
      <c r="S19" s="388"/>
      <c r="T19" s="388"/>
      <c r="U19" s="388"/>
      <c r="V19" s="388"/>
      <c r="W19" s="226" t="s">
        <v>683</v>
      </c>
      <c r="X19" s="226">
        <v>2347.0</v>
      </c>
      <c r="Y19" s="388"/>
      <c r="Z19" s="226" t="s">
        <v>684</v>
      </c>
      <c r="AA19" s="226">
        <v>313.0</v>
      </c>
      <c r="AB19" s="388"/>
      <c r="AC19" s="226" t="s">
        <v>685</v>
      </c>
      <c r="AD19" s="226">
        <v>182.0</v>
      </c>
    </row>
    <row r="20">
      <c r="A20" s="388"/>
      <c r="B20" s="226" t="s">
        <v>686</v>
      </c>
      <c r="C20" s="226">
        <v>518.0</v>
      </c>
      <c r="D20" s="388"/>
      <c r="E20" s="226" t="s">
        <v>687</v>
      </c>
      <c r="F20" s="226">
        <v>27.0</v>
      </c>
      <c r="G20" s="388"/>
      <c r="H20" s="226" t="s">
        <v>688</v>
      </c>
      <c r="I20" s="226">
        <v>121.0</v>
      </c>
      <c r="J20" s="388"/>
      <c r="K20" s="226" t="s">
        <v>689</v>
      </c>
      <c r="L20" s="226">
        <v>2107.0</v>
      </c>
      <c r="M20" s="388"/>
      <c r="N20" s="226" t="s">
        <v>690</v>
      </c>
      <c r="O20" s="226">
        <v>6.0</v>
      </c>
      <c r="P20" s="388"/>
      <c r="Q20" s="226" t="s">
        <v>691</v>
      </c>
      <c r="R20" s="226">
        <v>106.0</v>
      </c>
      <c r="S20" s="388"/>
      <c r="T20" s="388"/>
      <c r="U20" s="388"/>
      <c r="V20" s="388"/>
      <c r="W20" s="226" t="s">
        <v>692</v>
      </c>
      <c r="X20" s="226">
        <v>811.0</v>
      </c>
      <c r="Y20" s="388"/>
      <c r="Z20" s="226" t="s">
        <v>693</v>
      </c>
      <c r="AA20" s="226">
        <v>352.0</v>
      </c>
      <c r="AB20" s="388"/>
      <c r="AC20" s="226" t="s">
        <v>694</v>
      </c>
      <c r="AD20" s="226">
        <v>469.0</v>
      </c>
    </row>
    <row r="21">
      <c r="A21" s="388"/>
      <c r="B21" s="226" t="s">
        <v>695</v>
      </c>
      <c r="C21" s="226">
        <v>2208.0</v>
      </c>
      <c r="D21" s="388"/>
      <c r="E21" s="226" t="s">
        <v>696</v>
      </c>
      <c r="F21" s="226">
        <v>10.0</v>
      </c>
      <c r="G21" s="388"/>
      <c r="H21" s="226" t="s">
        <v>697</v>
      </c>
      <c r="I21" s="226">
        <v>7.0</v>
      </c>
      <c r="J21" s="388"/>
      <c r="K21" s="226" t="s">
        <v>698</v>
      </c>
      <c r="L21" s="226">
        <v>1585.0</v>
      </c>
      <c r="M21" s="388"/>
      <c r="N21" s="226" t="s">
        <v>699</v>
      </c>
      <c r="O21" s="226">
        <v>3.0</v>
      </c>
      <c r="P21" s="388"/>
      <c r="Q21" s="226" t="s">
        <v>700</v>
      </c>
      <c r="R21" s="226">
        <v>50.0</v>
      </c>
      <c r="S21" s="388"/>
      <c r="T21" s="388"/>
      <c r="U21" s="388"/>
      <c r="V21" s="388"/>
      <c r="W21" s="226" t="s">
        <v>701</v>
      </c>
      <c r="X21" s="226">
        <v>1855.0</v>
      </c>
      <c r="Y21" s="388"/>
      <c r="Z21" s="226" t="s">
        <v>702</v>
      </c>
      <c r="AA21" s="226">
        <v>1124.0</v>
      </c>
      <c r="AB21" s="388"/>
      <c r="AC21" s="226" t="s">
        <v>703</v>
      </c>
      <c r="AD21" s="226">
        <v>631.0</v>
      </c>
    </row>
    <row r="22">
      <c r="A22" s="388"/>
      <c r="B22" s="226" t="s">
        <v>704</v>
      </c>
      <c r="C22" s="226">
        <v>1456.0</v>
      </c>
      <c r="D22" s="388"/>
      <c r="E22" s="226" t="s">
        <v>705</v>
      </c>
      <c r="F22" s="226">
        <v>0.0</v>
      </c>
      <c r="G22" s="388"/>
      <c r="H22" s="226" t="s">
        <v>706</v>
      </c>
      <c r="I22" s="226">
        <v>104.0</v>
      </c>
      <c r="J22" s="388"/>
      <c r="K22" s="226" t="s">
        <v>707</v>
      </c>
      <c r="L22" s="226">
        <v>3184.0</v>
      </c>
      <c r="M22" s="388"/>
      <c r="N22" s="226" t="s">
        <v>708</v>
      </c>
      <c r="O22" s="226">
        <v>2.0</v>
      </c>
      <c r="P22" s="388"/>
      <c r="Q22" s="226" t="s">
        <v>709</v>
      </c>
      <c r="R22" s="226">
        <v>69.0</v>
      </c>
      <c r="S22" s="388"/>
      <c r="T22" s="388"/>
      <c r="U22" s="388"/>
      <c r="V22" s="388"/>
      <c r="W22" s="226" t="s">
        <v>710</v>
      </c>
      <c r="X22" s="226">
        <v>886.0</v>
      </c>
      <c r="Y22" s="388"/>
      <c r="Z22" s="226" t="s">
        <v>711</v>
      </c>
      <c r="AA22" s="226">
        <v>397.0</v>
      </c>
      <c r="AB22" s="388"/>
      <c r="AC22" s="226" t="s">
        <v>712</v>
      </c>
      <c r="AD22" s="226">
        <v>260.0</v>
      </c>
    </row>
    <row r="23">
      <c r="A23" s="388"/>
      <c r="B23" s="226" t="s">
        <v>713</v>
      </c>
      <c r="C23" s="226">
        <v>2426.0</v>
      </c>
      <c r="D23" s="388"/>
      <c r="E23" s="226" t="s">
        <v>714</v>
      </c>
      <c r="F23" s="226">
        <v>0.0</v>
      </c>
      <c r="G23" s="388"/>
      <c r="H23" s="226" t="s">
        <v>715</v>
      </c>
      <c r="I23" s="226">
        <v>69.0</v>
      </c>
      <c r="J23" s="388"/>
      <c r="K23" s="226" t="s">
        <v>716</v>
      </c>
      <c r="L23" s="226">
        <v>2064.0</v>
      </c>
      <c r="M23" s="388"/>
      <c r="N23" s="226" t="s">
        <v>717</v>
      </c>
      <c r="O23" s="226">
        <v>3.0</v>
      </c>
      <c r="P23" s="388"/>
      <c r="Q23" s="226" t="s">
        <v>718</v>
      </c>
      <c r="R23" s="226">
        <v>48.0</v>
      </c>
      <c r="S23" s="388"/>
      <c r="T23" s="388"/>
      <c r="U23" s="388"/>
      <c r="V23" s="388"/>
      <c r="W23" s="226" t="s">
        <v>719</v>
      </c>
      <c r="X23" s="226">
        <v>2685.0</v>
      </c>
      <c r="Y23" s="388"/>
      <c r="Z23" s="226" t="s">
        <v>720</v>
      </c>
      <c r="AA23" s="226">
        <v>899.0</v>
      </c>
      <c r="AB23" s="388"/>
      <c r="AC23" s="226" t="s">
        <v>721</v>
      </c>
      <c r="AD23" s="226">
        <v>453.0</v>
      </c>
    </row>
    <row r="24">
      <c r="A24" s="388"/>
      <c r="B24" s="226" t="s">
        <v>722</v>
      </c>
      <c r="C24" s="226">
        <v>1309.0</v>
      </c>
      <c r="D24" s="388"/>
      <c r="E24" s="226" t="s">
        <v>723</v>
      </c>
      <c r="F24" s="226">
        <v>0.0</v>
      </c>
      <c r="G24" s="388"/>
      <c r="H24" s="226" t="s">
        <v>724</v>
      </c>
      <c r="I24" s="226">
        <v>85.0</v>
      </c>
      <c r="J24" s="388"/>
      <c r="K24" s="226" t="s">
        <v>725</v>
      </c>
      <c r="L24" s="226">
        <v>2287.0</v>
      </c>
      <c r="M24" s="388"/>
      <c r="N24" s="226" t="s">
        <v>726</v>
      </c>
      <c r="O24" s="226">
        <v>6.0</v>
      </c>
      <c r="P24" s="388"/>
      <c r="Q24" s="226" t="s">
        <v>727</v>
      </c>
      <c r="R24" s="226">
        <v>14.0</v>
      </c>
      <c r="S24" s="388"/>
      <c r="T24" s="388"/>
      <c r="U24" s="388"/>
      <c r="V24" s="388"/>
      <c r="W24" s="226" t="s">
        <v>728</v>
      </c>
      <c r="X24" s="226">
        <v>1558.0</v>
      </c>
      <c r="Y24" s="388"/>
      <c r="Z24" s="226" t="s">
        <v>729</v>
      </c>
      <c r="AA24" s="226">
        <v>661.0</v>
      </c>
      <c r="AB24" s="388"/>
      <c r="AC24" s="226" t="s">
        <v>730</v>
      </c>
      <c r="AD24" s="226">
        <v>803.0</v>
      </c>
    </row>
    <row r="25">
      <c r="A25" s="388"/>
      <c r="B25" s="226" t="s">
        <v>731</v>
      </c>
      <c r="C25" s="226">
        <v>1824.0</v>
      </c>
      <c r="D25" s="388"/>
      <c r="E25" s="226" t="s">
        <v>732</v>
      </c>
      <c r="F25" s="226">
        <v>0.0</v>
      </c>
      <c r="G25" s="388"/>
      <c r="H25" s="226" t="s">
        <v>733</v>
      </c>
      <c r="I25" s="226">
        <v>181.0</v>
      </c>
      <c r="J25" s="388"/>
      <c r="K25" s="226" t="s">
        <v>734</v>
      </c>
      <c r="L25" s="226">
        <v>1085.0</v>
      </c>
      <c r="M25" s="388"/>
      <c r="N25" s="226" t="s">
        <v>735</v>
      </c>
      <c r="O25" s="226">
        <v>8.0</v>
      </c>
      <c r="P25" s="388"/>
      <c r="Q25" s="226" t="s">
        <v>736</v>
      </c>
      <c r="R25" s="226">
        <v>121.0</v>
      </c>
      <c r="S25" s="388"/>
      <c r="T25" s="388"/>
      <c r="U25" s="388"/>
      <c r="V25" s="388"/>
      <c r="W25" s="226" t="s">
        <v>737</v>
      </c>
      <c r="X25" s="226">
        <v>518.0</v>
      </c>
      <c r="Y25" s="388"/>
      <c r="Z25" s="388"/>
      <c r="AA25" s="388"/>
      <c r="AB25" s="388"/>
      <c r="AC25" s="226" t="s">
        <v>738</v>
      </c>
      <c r="AD25" s="226">
        <v>389.0</v>
      </c>
    </row>
    <row r="26">
      <c r="A26" s="388"/>
      <c r="B26" s="226" t="s">
        <v>739</v>
      </c>
      <c r="C26" s="226">
        <v>754.0</v>
      </c>
      <c r="D26" s="388"/>
      <c r="E26" s="226" t="s">
        <v>740</v>
      </c>
      <c r="F26" s="226">
        <v>0.0</v>
      </c>
      <c r="G26" s="388"/>
      <c r="H26" s="226" t="s">
        <v>741</v>
      </c>
      <c r="I26" s="226">
        <v>181.0</v>
      </c>
      <c r="J26" s="388"/>
      <c r="K26" s="388"/>
      <c r="L26" s="388"/>
      <c r="M26" s="388"/>
      <c r="N26" s="226" t="s">
        <v>742</v>
      </c>
      <c r="O26" s="226">
        <v>14.0</v>
      </c>
      <c r="P26" s="388"/>
      <c r="Q26" s="226" t="s">
        <v>743</v>
      </c>
      <c r="R26" s="226">
        <v>76.0</v>
      </c>
      <c r="S26" s="388"/>
      <c r="T26" s="388"/>
      <c r="U26" s="388"/>
      <c r="V26" s="388"/>
      <c r="W26" s="226" t="s">
        <v>744</v>
      </c>
      <c r="X26" s="226">
        <v>467.0</v>
      </c>
      <c r="Y26" s="388"/>
      <c r="Z26" s="388"/>
      <c r="AA26" s="388"/>
      <c r="AB26" s="388"/>
      <c r="AC26" s="226" t="s">
        <v>745</v>
      </c>
      <c r="AD26" s="226">
        <v>334.0</v>
      </c>
    </row>
    <row r="27">
      <c r="A27" s="388"/>
      <c r="B27" s="226" t="s">
        <v>746</v>
      </c>
      <c r="C27" s="226">
        <v>2128.0</v>
      </c>
      <c r="D27" s="388"/>
      <c r="E27" s="226" t="s">
        <v>747</v>
      </c>
      <c r="F27" s="226">
        <v>24.0</v>
      </c>
      <c r="G27" s="388"/>
      <c r="H27" s="226" t="s">
        <v>748</v>
      </c>
      <c r="I27" s="226">
        <v>160.0</v>
      </c>
      <c r="J27" s="388"/>
      <c r="K27" s="388"/>
      <c r="L27" s="388"/>
      <c r="M27" s="388"/>
      <c r="N27" s="226" t="s">
        <v>749</v>
      </c>
      <c r="O27" s="226">
        <v>6.0</v>
      </c>
      <c r="P27" s="388"/>
      <c r="Q27" s="226" t="s">
        <v>750</v>
      </c>
      <c r="R27" s="226">
        <v>263.0</v>
      </c>
      <c r="S27" s="388"/>
      <c r="T27" s="388"/>
      <c r="U27" s="388"/>
      <c r="V27" s="388"/>
      <c r="W27" s="226" t="s">
        <v>751</v>
      </c>
      <c r="X27" s="226">
        <v>586.0</v>
      </c>
      <c r="Y27" s="388"/>
      <c r="Z27" s="388"/>
      <c r="AA27" s="388"/>
      <c r="AB27" s="388"/>
      <c r="AC27" s="226" t="s">
        <v>752</v>
      </c>
      <c r="AD27" s="226">
        <v>523.0</v>
      </c>
    </row>
    <row r="28">
      <c r="A28" s="388"/>
      <c r="B28" s="226" t="s">
        <v>753</v>
      </c>
      <c r="C28" s="226">
        <v>3448.0</v>
      </c>
      <c r="D28" s="388"/>
      <c r="E28" s="226" t="s">
        <v>754</v>
      </c>
      <c r="F28" s="226">
        <v>1.0</v>
      </c>
      <c r="G28" s="388"/>
      <c r="H28" s="226" t="s">
        <v>755</v>
      </c>
      <c r="I28" s="226">
        <v>227.0</v>
      </c>
      <c r="J28" s="388"/>
      <c r="K28" s="388"/>
      <c r="L28" s="388"/>
      <c r="M28" s="388"/>
      <c r="N28" s="226" t="s">
        <v>756</v>
      </c>
      <c r="O28" s="226">
        <v>9.0</v>
      </c>
      <c r="P28" s="388"/>
      <c r="Q28" s="226" t="s">
        <v>757</v>
      </c>
      <c r="R28" s="226">
        <v>49.0</v>
      </c>
      <c r="S28" s="388"/>
      <c r="T28" s="388"/>
      <c r="U28" s="388"/>
      <c r="V28" s="388"/>
      <c r="W28" s="226" t="s">
        <v>758</v>
      </c>
      <c r="X28" s="226">
        <v>1385.0</v>
      </c>
      <c r="Y28" s="388"/>
      <c r="Z28" s="388"/>
      <c r="AA28" s="388"/>
      <c r="AB28" s="388"/>
      <c r="AC28" s="226" t="s">
        <v>759</v>
      </c>
      <c r="AD28" s="226">
        <v>615.0</v>
      </c>
    </row>
    <row r="29">
      <c r="A29" s="388"/>
      <c r="B29" s="226" t="s">
        <v>760</v>
      </c>
      <c r="C29" s="226">
        <v>1035.0</v>
      </c>
      <c r="D29" s="388"/>
      <c r="E29" s="226" t="s">
        <v>761</v>
      </c>
      <c r="F29" s="226">
        <v>0.0</v>
      </c>
      <c r="G29" s="388"/>
      <c r="H29" s="226" t="s">
        <v>762</v>
      </c>
      <c r="I29" s="226">
        <v>200.0</v>
      </c>
      <c r="J29" s="388"/>
      <c r="K29" s="388"/>
      <c r="L29" s="388"/>
      <c r="M29" s="388"/>
      <c r="N29" s="226" t="s">
        <v>763</v>
      </c>
      <c r="O29" s="226">
        <v>3.0</v>
      </c>
      <c r="P29" s="388"/>
      <c r="Q29" s="226" t="s">
        <v>764</v>
      </c>
      <c r="R29" s="226">
        <v>63.0</v>
      </c>
      <c r="S29" s="388"/>
      <c r="T29" s="388"/>
      <c r="U29" s="388"/>
      <c r="V29" s="388"/>
      <c r="W29" s="226" t="s">
        <v>765</v>
      </c>
      <c r="X29" s="226">
        <v>470.0</v>
      </c>
      <c r="Y29" s="388"/>
      <c r="Z29" s="388"/>
      <c r="AA29" s="388"/>
      <c r="AB29" s="388"/>
      <c r="AC29" s="226" t="s">
        <v>766</v>
      </c>
      <c r="AD29" s="226">
        <v>614.0</v>
      </c>
    </row>
    <row r="30">
      <c r="A30" s="388"/>
      <c r="B30" s="226" t="s">
        <v>767</v>
      </c>
      <c r="C30" s="226">
        <v>729.0</v>
      </c>
      <c r="D30" s="388"/>
      <c r="E30" s="226" t="s">
        <v>768</v>
      </c>
      <c r="F30" s="226">
        <v>0.0</v>
      </c>
      <c r="G30" s="388"/>
      <c r="H30" s="388"/>
      <c r="I30" s="388"/>
      <c r="J30" s="388"/>
      <c r="K30" s="388"/>
      <c r="L30" s="388"/>
      <c r="M30" s="388"/>
      <c r="N30" s="226" t="s">
        <v>769</v>
      </c>
      <c r="O30" s="226">
        <v>2.0</v>
      </c>
      <c r="P30" s="388"/>
      <c r="Q30" s="226" t="s">
        <v>770</v>
      </c>
      <c r="R30" s="226">
        <v>4.0</v>
      </c>
      <c r="S30" s="388"/>
      <c r="T30" s="388"/>
      <c r="U30" s="388"/>
      <c r="V30" s="388"/>
      <c r="W30" s="226" t="s">
        <v>771</v>
      </c>
      <c r="X30" s="226">
        <v>272.0</v>
      </c>
      <c r="Y30" s="388"/>
      <c r="Z30" s="388"/>
      <c r="AA30" s="388"/>
      <c r="AB30" s="388"/>
      <c r="AC30" s="226" t="s">
        <v>772</v>
      </c>
      <c r="AD30" s="226">
        <v>424.0</v>
      </c>
    </row>
    <row r="31">
      <c r="A31" s="388"/>
      <c r="B31" s="226" t="s">
        <v>773</v>
      </c>
      <c r="C31" s="226">
        <v>1927.0</v>
      </c>
      <c r="D31" s="388"/>
      <c r="E31" s="226" t="s">
        <v>774</v>
      </c>
      <c r="F31" s="226">
        <v>2.0</v>
      </c>
      <c r="G31" s="388"/>
      <c r="H31" s="388"/>
      <c r="I31" s="388"/>
      <c r="J31" s="388"/>
      <c r="K31" s="388"/>
      <c r="L31" s="388"/>
      <c r="M31" s="388"/>
      <c r="N31" s="226" t="s">
        <v>775</v>
      </c>
      <c r="O31" s="226">
        <v>0.0</v>
      </c>
      <c r="P31" s="388"/>
      <c r="Q31" s="226" t="s">
        <v>776</v>
      </c>
      <c r="R31" s="226">
        <v>36.0</v>
      </c>
      <c r="S31" s="388"/>
      <c r="T31" s="388"/>
      <c r="U31" s="388"/>
      <c r="V31" s="388"/>
      <c r="W31" s="226" t="s">
        <v>777</v>
      </c>
      <c r="X31" s="226">
        <v>1219.0</v>
      </c>
      <c r="Y31" s="388"/>
      <c r="Z31" s="388"/>
      <c r="AA31" s="388"/>
      <c r="AB31" s="388"/>
      <c r="AC31" s="226" t="s">
        <v>778</v>
      </c>
      <c r="AD31" s="226">
        <v>472.0</v>
      </c>
    </row>
    <row r="32">
      <c r="A32" s="388"/>
      <c r="B32" s="226" t="s">
        <v>779</v>
      </c>
      <c r="C32" s="226">
        <v>650.0</v>
      </c>
      <c r="D32" s="388"/>
      <c r="E32" s="226" t="s">
        <v>780</v>
      </c>
      <c r="F32" s="226">
        <v>28.0</v>
      </c>
      <c r="G32" s="388"/>
      <c r="H32" s="388"/>
      <c r="I32" s="388"/>
      <c r="J32" s="388"/>
      <c r="K32" s="388"/>
      <c r="L32" s="388"/>
      <c r="M32" s="388"/>
      <c r="N32" s="226" t="s">
        <v>781</v>
      </c>
      <c r="O32" s="226">
        <v>3.0</v>
      </c>
      <c r="P32" s="388"/>
      <c r="Q32" s="226" t="s">
        <v>782</v>
      </c>
      <c r="R32" s="226">
        <v>1.0</v>
      </c>
      <c r="S32" s="388"/>
      <c r="T32" s="388"/>
      <c r="U32" s="388"/>
      <c r="V32" s="388"/>
      <c r="W32" s="388"/>
      <c r="X32" s="388"/>
      <c r="Y32" s="388"/>
      <c r="Z32" s="388"/>
      <c r="AA32" s="388"/>
      <c r="AB32" s="388"/>
      <c r="AC32" s="226" t="s">
        <v>783</v>
      </c>
      <c r="AD32" s="226">
        <v>334.0</v>
      </c>
    </row>
    <row r="33">
      <c r="A33" s="388"/>
      <c r="B33" s="226" t="s">
        <v>784</v>
      </c>
      <c r="C33" s="226">
        <v>722.0</v>
      </c>
      <c r="D33" s="388"/>
      <c r="E33" s="226" t="s">
        <v>785</v>
      </c>
      <c r="F33" s="226">
        <v>0.0</v>
      </c>
      <c r="G33" s="388"/>
      <c r="H33" s="388"/>
      <c r="I33" s="388"/>
      <c r="J33" s="388"/>
      <c r="K33" s="388"/>
      <c r="L33" s="388"/>
      <c r="M33" s="388"/>
      <c r="N33" s="226" t="s">
        <v>786</v>
      </c>
      <c r="O33" s="226">
        <v>10.0</v>
      </c>
      <c r="P33" s="388"/>
      <c r="Q33" s="226" t="s">
        <v>787</v>
      </c>
      <c r="R33" s="226">
        <v>18.0</v>
      </c>
      <c r="S33" s="388"/>
      <c r="T33" s="388"/>
      <c r="U33" s="388"/>
      <c r="V33" s="388"/>
      <c r="W33" s="388"/>
      <c r="X33" s="388"/>
      <c r="Y33" s="388"/>
      <c r="Z33" s="388"/>
      <c r="AA33" s="388"/>
      <c r="AB33" s="388"/>
      <c r="AC33" s="226" t="s">
        <v>788</v>
      </c>
      <c r="AD33" s="226">
        <v>316.0</v>
      </c>
    </row>
    <row r="34">
      <c r="A34" s="388"/>
      <c r="B34" s="226" t="s">
        <v>789</v>
      </c>
      <c r="C34" s="226">
        <v>1800.0</v>
      </c>
      <c r="D34" s="388"/>
      <c r="E34" s="226" t="s">
        <v>790</v>
      </c>
      <c r="F34" s="226">
        <v>0.0</v>
      </c>
      <c r="G34" s="388"/>
      <c r="H34" s="388"/>
      <c r="I34" s="388"/>
      <c r="J34" s="388"/>
      <c r="K34" s="388"/>
      <c r="L34" s="388"/>
      <c r="M34" s="388"/>
      <c r="N34" s="226" t="s">
        <v>791</v>
      </c>
      <c r="O34" s="226">
        <v>5.0</v>
      </c>
      <c r="P34" s="388"/>
      <c r="Q34" s="226" t="s">
        <v>792</v>
      </c>
      <c r="R34" s="226">
        <v>383.0</v>
      </c>
      <c r="S34" s="388"/>
      <c r="T34" s="388"/>
      <c r="U34" s="388"/>
      <c r="V34" s="388"/>
      <c r="W34" s="388"/>
      <c r="X34" s="388"/>
      <c r="Y34" s="388"/>
      <c r="Z34" s="388"/>
      <c r="AA34" s="388"/>
      <c r="AB34" s="388"/>
      <c r="AC34" s="226" t="s">
        <v>793</v>
      </c>
      <c r="AD34" s="226">
        <v>346.0</v>
      </c>
    </row>
    <row r="35">
      <c r="A35" s="388"/>
      <c r="B35" s="226" t="s">
        <v>794</v>
      </c>
      <c r="C35" s="226">
        <v>1039.0</v>
      </c>
      <c r="D35" s="388"/>
      <c r="E35" s="226" t="s">
        <v>795</v>
      </c>
      <c r="F35" s="226">
        <v>1.0</v>
      </c>
      <c r="G35" s="388"/>
      <c r="H35" s="388"/>
      <c r="I35" s="388"/>
      <c r="J35" s="388"/>
      <c r="K35" s="388"/>
      <c r="L35" s="388"/>
      <c r="M35" s="388"/>
      <c r="N35" s="226" t="s">
        <v>796</v>
      </c>
      <c r="O35" s="226">
        <v>11.0</v>
      </c>
      <c r="P35" s="388"/>
      <c r="Q35" s="226" t="s">
        <v>797</v>
      </c>
      <c r="R35" s="226">
        <v>13.0</v>
      </c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</row>
    <row r="36">
      <c r="A36" s="388"/>
      <c r="B36" s="226" t="s">
        <v>798</v>
      </c>
      <c r="C36" s="226">
        <v>756.0</v>
      </c>
      <c r="D36" s="388"/>
      <c r="E36" s="226" t="s">
        <v>799</v>
      </c>
      <c r="F36" s="226">
        <v>8.0</v>
      </c>
      <c r="G36" s="388"/>
      <c r="H36" s="388"/>
      <c r="I36" s="388"/>
      <c r="J36" s="388"/>
      <c r="K36" s="388"/>
      <c r="L36" s="388"/>
      <c r="M36" s="388"/>
      <c r="N36" s="226" t="s">
        <v>800</v>
      </c>
      <c r="O36" s="226">
        <v>12.0</v>
      </c>
      <c r="P36" s="388"/>
      <c r="Q36" s="226" t="s">
        <v>801</v>
      </c>
      <c r="R36" s="226">
        <v>17.0</v>
      </c>
      <c r="S36" s="388"/>
      <c r="T36" s="388"/>
      <c r="U36" s="388"/>
      <c r="V36" s="388"/>
      <c r="W36" s="388"/>
      <c r="X36" s="388"/>
      <c r="Y36" s="388"/>
      <c r="Z36" s="388"/>
      <c r="AA36" s="388"/>
      <c r="AB36" s="388"/>
      <c r="AC36" s="388"/>
      <c r="AD36" s="388"/>
    </row>
    <row r="37">
      <c r="A37" s="388"/>
      <c r="B37" s="388"/>
      <c r="C37" s="388"/>
      <c r="D37" s="388"/>
      <c r="E37" s="226" t="s">
        <v>802</v>
      </c>
      <c r="F37" s="226">
        <v>0.0</v>
      </c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226" t="s">
        <v>803</v>
      </c>
      <c r="R37" s="226">
        <v>27.0</v>
      </c>
      <c r="S37" s="388"/>
      <c r="T37" s="388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</row>
    <row r="38">
      <c r="A38" s="388"/>
      <c r="B38" s="388"/>
      <c r="C38" s="388"/>
      <c r="D38" s="388"/>
      <c r="E38" s="226" t="s">
        <v>804</v>
      </c>
      <c r="F38" s="226">
        <v>2.0</v>
      </c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</row>
    <row r="39">
      <c r="A39" s="388"/>
      <c r="B39" s="388"/>
      <c r="C39" s="388"/>
      <c r="D39" s="388"/>
      <c r="E39" s="226" t="s">
        <v>805</v>
      </c>
      <c r="F39" s="226">
        <v>25.0</v>
      </c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8"/>
      <c r="Y39" s="388"/>
      <c r="Z39" s="388"/>
      <c r="AA39" s="388"/>
      <c r="AB39" s="388"/>
      <c r="AC39" s="388"/>
      <c r="AD39" s="388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2" width="20.14"/>
    <col customWidth="1" min="3" max="3" width="17.71"/>
    <col customWidth="1" min="4" max="26" width="8.71"/>
  </cols>
  <sheetData>
    <row r="1" ht="14.25" customHeight="1">
      <c r="A1" s="413" t="s">
        <v>8</v>
      </c>
    </row>
    <row r="2" ht="14.25" customHeight="1">
      <c r="A2" s="520" t="s">
        <v>806</v>
      </c>
      <c r="B2" s="327" t="s">
        <v>807</v>
      </c>
      <c r="C2" s="327" t="s">
        <v>808</v>
      </c>
    </row>
    <row r="3" ht="14.25" customHeight="1">
      <c r="A3" s="521" t="s">
        <v>809</v>
      </c>
      <c r="B3" s="332">
        <v>26.0</v>
      </c>
      <c r="C3" s="35">
        <v>27.7</v>
      </c>
    </row>
    <row r="4" ht="14.25" customHeight="1">
      <c r="A4" s="521" t="s">
        <v>810</v>
      </c>
      <c r="B4" s="332">
        <v>19.0</v>
      </c>
      <c r="C4" s="35">
        <v>19.1</v>
      </c>
    </row>
    <row r="5" ht="14.25" customHeight="1">
      <c r="A5" s="521" t="s">
        <v>811</v>
      </c>
      <c r="B5" s="332">
        <v>18.0</v>
      </c>
      <c r="C5" s="35">
        <v>20.6</v>
      </c>
    </row>
    <row r="6" ht="14.25" customHeight="1">
      <c r="A6" s="521" t="s">
        <v>812</v>
      </c>
      <c r="B6" s="332">
        <v>27.0</v>
      </c>
      <c r="C6" s="35">
        <v>29.6</v>
      </c>
    </row>
    <row r="7" ht="14.25" customHeight="1">
      <c r="A7" s="521" t="s">
        <v>813</v>
      </c>
      <c r="B7" s="183">
        <v>8188534.0</v>
      </c>
      <c r="C7" s="35">
        <v>7697794.0</v>
      </c>
    </row>
    <row r="8" ht="14.25" customHeight="1">
      <c r="A8" s="521" t="s">
        <v>237</v>
      </c>
      <c r="B8" s="522">
        <v>7961193.0</v>
      </c>
      <c r="C8" s="35">
        <v>7505253.0</v>
      </c>
    </row>
    <row r="9" ht="14.25" customHeight="1">
      <c r="A9" s="521" t="s">
        <v>814</v>
      </c>
      <c r="B9" s="522">
        <v>117285.0</v>
      </c>
      <c r="C9" s="35">
        <v>110971.0</v>
      </c>
    </row>
    <row r="10" ht="14.25" customHeight="1">
      <c r="A10" s="521" t="s">
        <v>815</v>
      </c>
      <c r="B10" s="522">
        <v>1428553.0</v>
      </c>
      <c r="C10" s="35">
        <v>1415161.0</v>
      </c>
    </row>
    <row r="11" ht="14.25" customHeight="1">
      <c r="A11" s="523" t="s">
        <v>816</v>
      </c>
      <c r="B11" s="522">
        <v>1355074.0</v>
      </c>
      <c r="C11" s="35">
        <v>1348446.0</v>
      </c>
    </row>
    <row r="12" ht="14.25" customHeight="1">
      <c r="A12" s="523" t="s">
        <v>817</v>
      </c>
      <c r="B12" s="332">
        <v>1398305.0</v>
      </c>
      <c r="C12" s="35">
        <v>1399491.0</v>
      </c>
    </row>
    <row r="13" ht="14.25" customHeight="1">
      <c r="A13" s="2" t="s">
        <v>818</v>
      </c>
    </row>
    <row r="14" ht="14.25" customHeight="1"/>
    <row r="15" ht="14.25" customHeight="1"/>
    <row r="16" ht="14.25" customHeight="1">
      <c r="A16" s="524" t="s">
        <v>819</v>
      </c>
      <c r="B16" s="525"/>
      <c r="C16" s="525"/>
      <c r="D16" s="526"/>
      <c r="E16" s="526"/>
      <c r="F16" s="526"/>
      <c r="G16" s="526"/>
    </row>
    <row r="17" ht="14.25" customHeight="1">
      <c r="A17" s="527"/>
      <c r="B17" s="528"/>
      <c r="C17" s="529" t="s">
        <v>820</v>
      </c>
      <c r="D17" s="109"/>
      <c r="E17" s="529" t="s">
        <v>821</v>
      </c>
      <c r="F17" s="323"/>
      <c r="G17" s="109"/>
    </row>
    <row r="18" ht="14.25" customHeight="1">
      <c r="A18" s="527"/>
      <c r="B18" s="530" t="s">
        <v>67</v>
      </c>
      <c r="C18" s="530" t="s">
        <v>68</v>
      </c>
      <c r="D18" s="530" t="s">
        <v>69</v>
      </c>
      <c r="E18" s="530" t="s">
        <v>822</v>
      </c>
      <c r="F18" s="530" t="s">
        <v>823</v>
      </c>
      <c r="G18" s="531" t="s">
        <v>824</v>
      </c>
    </row>
    <row r="19" ht="14.25" customHeight="1">
      <c r="A19" s="532" t="s">
        <v>825</v>
      </c>
      <c r="B19" s="533"/>
      <c r="C19" s="533"/>
      <c r="D19" s="533"/>
      <c r="E19" s="533"/>
      <c r="F19" s="533"/>
      <c r="G19" s="533"/>
    </row>
    <row r="20" ht="14.25" customHeight="1">
      <c r="A20" s="532" t="s">
        <v>826</v>
      </c>
      <c r="B20" s="534">
        <v>178.11641814097635</v>
      </c>
      <c r="C20" s="534">
        <v>149.73173694593729</v>
      </c>
      <c r="D20" s="534">
        <v>315.9274398707176</v>
      </c>
      <c r="E20" s="534">
        <v>115.43907679637786</v>
      </c>
      <c r="F20" s="534">
        <v>517.5368758224755</v>
      </c>
      <c r="G20" s="534">
        <v>267.3873866616182</v>
      </c>
    </row>
    <row r="21" ht="14.25" customHeight="1">
      <c r="A21" s="532" t="s">
        <v>827</v>
      </c>
      <c r="B21" s="534">
        <v>140.11467560743748</v>
      </c>
      <c r="C21" s="534">
        <v>128.77705313043208</v>
      </c>
      <c r="D21" s="534">
        <v>269.994270581345</v>
      </c>
      <c r="E21" s="534">
        <v>104.66524895131309</v>
      </c>
      <c r="F21" s="534">
        <v>459.8074610276725</v>
      </c>
      <c r="G21" s="534">
        <v>265.2190266286086</v>
      </c>
    </row>
    <row r="22" ht="14.25" customHeight="1">
      <c r="A22" s="532" t="s">
        <v>828</v>
      </c>
      <c r="B22" s="534">
        <v>262.8342802015221</v>
      </c>
      <c r="C22" s="534">
        <v>220.51150834919451</v>
      </c>
      <c r="D22" s="534">
        <v>328.19870901266745</v>
      </c>
      <c r="E22" s="534">
        <v>155.95882686475548</v>
      </c>
      <c r="F22" s="534">
        <v>530.002814430352</v>
      </c>
      <c r="G22" s="534">
        <v>240.3578417032342</v>
      </c>
    </row>
    <row r="23" ht="14.25" customHeight="1">
      <c r="A23" s="532" t="s">
        <v>829</v>
      </c>
      <c r="B23" s="533"/>
      <c r="C23" s="533"/>
      <c r="D23" s="533"/>
      <c r="E23" s="533"/>
      <c r="F23" s="533"/>
      <c r="G23" s="533"/>
    </row>
    <row r="24" ht="14.25" customHeight="1">
      <c r="A24" s="532" t="s">
        <v>830</v>
      </c>
      <c r="B24" s="534">
        <v>27.898642943822228</v>
      </c>
      <c r="C24" s="534">
        <v>27.74482325195278</v>
      </c>
      <c r="D24" s="534">
        <v>28.259151468001647</v>
      </c>
      <c r="E24" s="534">
        <v>26.3229040703452</v>
      </c>
      <c r="F24" s="534">
        <v>28.011181949211807</v>
      </c>
      <c r="G24" s="534">
        <v>31.362452004461865</v>
      </c>
    </row>
    <row r="25" ht="14.25" customHeight="1">
      <c r="A25" s="532" t="s">
        <v>831</v>
      </c>
      <c r="B25" s="534">
        <v>29.276745590743037</v>
      </c>
      <c r="C25" s="534">
        <v>28.963262890084636</v>
      </c>
      <c r="D25" s="534">
        <v>31.116949625086207</v>
      </c>
      <c r="E25" s="534">
        <v>28.31236095692223</v>
      </c>
      <c r="F25" s="534">
        <v>32.24927642835441</v>
      </c>
      <c r="G25" s="534">
        <v>30.422392606254014</v>
      </c>
    </row>
    <row r="26" ht="14.25" customHeight="1">
      <c r="A26" s="532" t="s">
        <v>832</v>
      </c>
      <c r="B26" s="534">
        <v>24.930843430593335</v>
      </c>
      <c r="C26" s="534">
        <v>24.312363298870046</v>
      </c>
      <c r="D26" s="534">
        <v>25.606794965842518</v>
      </c>
      <c r="E26" s="534">
        <v>22.033942687311306</v>
      </c>
      <c r="F26" s="534">
        <v>25.388028342866747</v>
      </c>
      <c r="G26" s="534">
        <v>31.7008728382677</v>
      </c>
    </row>
    <row r="27" ht="14.25" customHeight="1">
      <c r="A27" s="535" t="s">
        <v>833</v>
      </c>
      <c r="B27" s="536"/>
      <c r="C27" s="536"/>
      <c r="D27" s="536"/>
      <c r="E27" s="533"/>
      <c r="F27" s="533"/>
      <c r="G27" s="533"/>
    </row>
    <row r="28" ht="14.25" customHeight="1">
      <c r="A28" s="535" t="s">
        <v>834</v>
      </c>
      <c r="B28" s="536"/>
      <c r="C28" s="536"/>
      <c r="D28" s="536"/>
      <c r="E28" s="536"/>
      <c r="F28" s="536"/>
      <c r="G28" s="533"/>
    </row>
    <row r="29" ht="14.25" customHeight="1">
      <c r="A29" s="537" t="s">
        <v>835</v>
      </c>
      <c r="B29" s="323"/>
      <c r="C29" s="323"/>
      <c r="D29" s="323"/>
      <c r="E29" s="323"/>
      <c r="F29" s="323"/>
      <c r="G29" s="109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C1"/>
    <mergeCell ref="C17:D17"/>
    <mergeCell ref="E17:G17"/>
    <mergeCell ref="A29:G29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sheetData>
    <row r="1">
      <c r="A1" s="95" t="s">
        <v>9</v>
      </c>
      <c r="B1" s="95"/>
      <c r="C1" s="95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7"/>
      <c r="AX1" s="7"/>
      <c r="AY1" s="7"/>
      <c r="AZ1" s="7"/>
      <c r="BA1" s="7"/>
      <c r="BB1" s="7"/>
      <c r="BC1" s="7"/>
    </row>
    <row r="2">
      <c r="A2" s="95"/>
      <c r="B2" s="95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538"/>
      <c r="AN2" s="538"/>
      <c r="AO2" s="538"/>
      <c r="AP2" s="538"/>
      <c r="AQ2" s="538"/>
      <c r="AR2" s="538"/>
      <c r="AS2" s="538"/>
      <c r="AT2" s="538"/>
      <c r="AU2" s="538"/>
      <c r="AV2" s="538"/>
      <c r="AW2" s="7"/>
      <c r="AX2" s="7"/>
      <c r="AY2" s="7"/>
      <c r="AZ2" s="7"/>
      <c r="BA2" s="7"/>
      <c r="BB2" s="7"/>
      <c r="BC2" s="7"/>
    </row>
    <row r="3">
      <c r="A3" s="539" t="s">
        <v>464</v>
      </c>
      <c r="B3" s="539" t="s">
        <v>511</v>
      </c>
      <c r="C3" s="540" t="s">
        <v>90</v>
      </c>
      <c r="D3" s="20"/>
      <c r="E3" s="20"/>
      <c r="F3" s="20"/>
      <c r="G3" s="20"/>
      <c r="H3" s="20"/>
      <c r="I3" s="20"/>
      <c r="J3" s="21"/>
      <c r="K3" s="541"/>
      <c r="L3" s="541"/>
      <c r="M3" s="540" t="s">
        <v>94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  <c r="Z3" s="541"/>
      <c r="AA3" s="541"/>
      <c r="AB3" s="540" t="s">
        <v>836</v>
      </c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1"/>
      <c r="AW3" s="7"/>
      <c r="AX3" s="7"/>
      <c r="AY3" s="7"/>
      <c r="AZ3" s="7"/>
      <c r="BA3" s="7"/>
      <c r="BB3" s="7"/>
      <c r="BC3" s="7"/>
    </row>
    <row r="4" ht="43.5" customHeight="1">
      <c r="A4" s="542"/>
      <c r="B4" s="542"/>
      <c r="C4" s="543" t="s">
        <v>67</v>
      </c>
      <c r="D4" s="543" t="s">
        <v>120</v>
      </c>
      <c r="E4" s="543" t="s">
        <v>68</v>
      </c>
      <c r="F4" s="543" t="s">
        <v>69</v>
      </c>
      <c r="G4" s="543" t="s">
        <v>837</v>
      </c>
      <c r="H4" s="543" t="s">
        <v>38</v>
      </c>
      <c r="I4" s="543" t="s">
        <v>838</v>
      </c>
      <c r="J4" s="543" t="s">
        <v>74</v>
      </c>
      <c r="K4" s="543" t="s">
        <v>839</v>
      </c>
      <c r="L4" s="543" t="s">
        <v>108</v>
      </c>
      <c r="M4" s="543" t="s">
        <v>67</v>
      </c>
      <c r="N4" s="543" t="s">
        <v>68</v>
      </c>
      <c r="O4" s="543" t="s">
        <v>69</v>
      </c>
      <c r="P4" s="543" t="s">
        <v>840</v>
      </c>
      <c r="Q4" s="543" t="s">
        <v>285</v>
      </c>
      <c r="R4" s="543" t="s">
        <v>841</v>
      </c>
      <c r="S4" s="543" t="s">
        <v>842</v>
      </c>
      <c r="T4" s="543" t="s">
        <v>843</v>
      </c>
      <c r="U4" s="543" t="s">
        <v>844</v>
      </c>
      <c r="V4" s="543" t="s">
        <v>845</v>
      </c>
      <c r="W4" s="543" t="s">
        <v>846</v>
      </c>
      <c r="X4" s="543" t="s">
        <v>847</v>
      </c>
      <c r="Y4" s="543" t="s">
        <v>848</v>
      </c>
      <c r="Z4" s="161" t="s">
        <v>102</v>
      </c>
      <c r="AA4" s="161" t="s">
        <v>849</v>
      </c>
      <c r="AB4" s="161" t="s">
        <v>850</v>
      </c>
      <c r="AC4" s="161" t="s">
        <v>851</v>
      </c>
      <c r="AD4" s="161" t="s">
        <v>492</v>
      </c>
      <c r="AE4" s="543" t="s">
        <v>852</v>
      </c>
      <c r="AF4" s="543" t="s">
        <v>493</v>
      </c>
      <c r="AG4" s="543" t="s">
        <v>853</v>
      </c>
      <c r="AH4" s="543" t="s">
        <v>854</v>
      </c>
      <c r="AI4" s="543" t="s">
        <v>855</v>
      </c>
      <c r="AJ4" s="543" t="s">
        <v>856</v>
      </c>
      <c r="AK4" s="543" t="s">
        <v>509</v>
      </c>
      <c r="AL4" s="543" t="s">
        <v>857</v>
      </c>
      <c r="AM4" s="543" t="s">
        <v>503</v>
      </c>
      <c r="AN4" s="543" t="s">
        <v>491</v>
      </c>
      <c r="AO4" s="543" t="s">
        <v>499</v>
      </c>
      <c r="AP4" s="543" t="s">
        <v>858</v>
      </c>
      <c r="AQ4" s="543" t="s">
        <v>500</v>
      </c>
      <c r="AR4" s="543" t="s">
        <v>859</v>
      </c>
      <c r="AS4" s="543" t="s">
        <v>501</v>
      </c>
      <c r="AT4" s="543" t="s">
        <v>860</v>
      </c>
      <c r="AU4" s="543" t="s">
        <v>861</v>
      </c>
      <c r="AV4" s="543" t="s">
        <v>862</v>
      </c>
      <c r="AW4" s="7"/>
      <c r="AX4" s="7"/>
      <c r="AY4" s="7"/>
      <c r="AZ4" s="7"/>
      <c r="BA4" s="7"/>
      <c r="BB4" s="7"/>
      <c r="BC4" s="7"/>
    </row>
    <row r="5">
      <c r="A5" s="544" t="s">
        <v>152</v>
      </c>
      <c r="B5" s="544" t="s">
        <v>863</v>
      </c>
      <c r="C5" s="544">
        <v>1530.0</v>
      </c>
      <c r="D5" s="545">
        <f t="shared" ref="D5:D39" si="1">E5/C5</f>
        <v>0.9588235294</v>
      </c>
      <c r="E5" s="544">
        <v>1467.0</v>
      </c>
      <c r="F5" s="546">
        <f t="shared" ref="F5:F8" si="2">C5-E5</f>
        <v>63</v>
      </c>
      <c r="G5" s="545">
        <f t="shared" ref="G5:G39" si="3">H5/C5</f>
        <v>0.7960784314</v>
      </c>
      <c r="H5" s="544">
        <v>1218.0</v>
      </c>
      <c r="I5" s="545">
        <f t="shared" ref="I5:I39" si="4">J5/C5</f>
        <v>0.1150326797</v>
      </c>
      <c r="J5" s="544">
        <v>176.0</v>
      </c>
      <c r="K5" s="545">
        <f t="shared" ref="K5:K39" si="5">L5/C5</f>
        <v>0.01307189542</v>
      </c>
      <c r="L5" s="544">
        <v>20.0</v>
      </c>
      <c r="M5" s="544">
        <v>10044.0</v>
      </c>
      <c r="N5" s="544">
        <v>9101.0</v>
      </c>
      <c r="O5" s="546">
        <f t="shared" ref="O5:O26" si="6">M5-N5</f>
        <v>943</v>
      </c>
      <c r="P5" s="545">
        <f t="shared" ref="P5:P39" si="7">Q5/M5</f>
        <v>0.3794305058</v>
      </c>
      <c r="Q5" s="544">
        <v>3811.0</v>
      </c>
      <c r="R5" s="347">
        <f t="shared" ref="R5:R39" si="8">S5/M5</f>
        <v>0.3306451613</v>
      </c>
      <c r="S5" s="544">
        <v>3321.0</v>
      </c>
      <c r="T5" s="545">
        <f t="shared" ref="T5:T39" si="9">U5/M5</f>
        <v>0.7987853445</v>
      </c>
      <c r="U5" s="544">
        <f t="shared" ref="U5:U39" si="10">V5+W5</f>
        <v>8023</v>
      </c>
      <c r="V5" s="544">
        <v>5725.0</v>
      </c>
      <c r="W5" s="544">
        <v>2298.0</v>
      </c>
      <c r="X5" s="545">
        <f t="shared" ref="X5:X39" si="11">Y5/M5</f>
        <v>0.2852449223</v>
      </c>
      <c r="Y5" s="544">
        <v>2865.0</v>
      </c>
      <c r="Z5" s="30">
        <v>25.24</v>
      </c>
      <c r="AA5" s="547">
        <f t="shared" ref="AA5:AA39" si="12">AB5/C5</f>
        <v>0.8300653595</v>
      </c>
      <c r="AB5" s="544">
        <v>1270.0</v>
      </c>
      <c r="AC5" s="547">
        <f t="shared" ref="AC5:AC39" si="13">AD5/C5</f>
        <v>0.9535947712</v>
      </c>
      <c r="AD5" s="544">
        <v>1459.0</v>
      </c>
      <c r="AE5" s="545">
        <f t="shared" ref="AE5:AE39" si="14">AF5/C5</f>
        <v>0.5862745098</v>
      </c>
      <c r="AF5" s="544">
        <v>897.0</v>
      </c>
      <c r="AG5" s="545">
        <f t="shared" ref="AG5:AG39" si="15">AH5/C5</f>
        <v>0.5941176471</v>
      </c>
      <c r="AH5" s="544">
        <v>909.0</v>
      </c>
      <c r="AI5" s="547">
        <f t="shared" ref="AI5:AI39" si="16">AJ5/C5</f>
        <v>0.814379085</v>
      </c>
      <c r="AJ5" s="544">
        <v>1246.0</v>
      </c>
      <c r="AK5" s="545">
        <f t="shared" ref="AK5:AK39" si="17">AL5/C5</f>
        <v>0.2967320261</v>
      </c>
      <c r="AL5" s="544">
        <v>454.0</v>
      </c>
      <c r="AM5" s="545">
        <f t="shared" ref="AM5:AM39" si="18">AN5/C5</f>
        <v>0.6196078431</v>
      </c>
      <c r="AN5" s="544">
        <v>948.0</v>
      </c>
      <c r="AO5" s="545">
        <f t="shared" ref="AO5:AO39" si="19">AP5/C5</f>
        <v>0.7947712418</v>
      </c>
      <c r="AP5" s="544">
        <v>1216.0</v>
      </c>
      <c r="AQ5" s="545">
        <f t="shared" ref="AQ5:AQ39" si="20">AR5/C5</f>
        <v>0.06078431373</v>
      </c>
      <c r="AR5" s="544">
        <v>93.0</v>
      </c>
      <c r="AS5" s="545">
        <f t="shared" ref="AS5:AS39" si="21">AT5/C5</f>
        <v>0.1424836601</v>
      </c>
      <c r="AT5" s="544">
        <v>218.0</v>
      </c>
      <c r="AU5" s="545">
        <f t="shared" ref="AU5:AU39" si="22">AV5/C5</f>
        <v>0.7980392157</v>
      </c>
      <c r="AV5" s="544">
        <v>1221.0</v>
      </c>
      <c r="AW5" s="7"/>
      <c r="AX5" s="7"/>
      <c r="AY5" s="7"/>
      <c r="AZ5" s="7"/>
      <c r="BA5" s="7"/>
      <c r="BB5" s="7"/>
      <c r="BC5" s="7"/>
    </row>
    <row r="6">
      <c r="A6" s="546"/>
      <c r="B6" s="544" t="s">
        <v>864</v>
      </c>
      <c r="C6" s="544">
        <v>3122.0</v>
      </c>
      <c r="D6" s="545">
        <f t="shared" si="1"/>
        <v>0.9272901986</v>
      </c>
      <c r="E6" s="544">
        <v>2895.0</v>
      </c>
      <c r="F6" s="546">
        <f t="shared" si="2"/>
        <v>227</v>
      </c>
      <c r="G6" s="545">
        <f t="shared" si="3"/>
        <v>0.6303651505</v>
      </c>
      <c r="H6" s="544">
        <v>1968.0</v>
      </c>
      <c r="I6" s="545">
        <f t="shared" si="4"/>
        <v>0.03395259449</v>
      </c>
      <c r="J6" s="544">
        <v>106.0</v>
      </c>
      <c r="K6" s="545">
        <f t="shared" si="5"/>
        <v>0.02786675208</v>
      </c>
      <c r="L6" s="544">
        <v>87.0</v>
      </c>
      <c r="M6" s="544">
        <v>18620.0</v>
      </c>
      <c r="N6" s="544">
        <v>16222.0</v>
      </c>
      <c r="O6" s="546">
        <f t="shared" si="6"/>
        <v>2398</v>
      </c>
      <c r="P6" s="545">
        <f t="shared" si="7"/>
        <v>0.2923200859</v>
      </c>
      <c r="Q6" s="544">
        <v>5443.0</v>
      </c>
      <c r="R6" s="347">
        <f t="shared" si="8"/>
        <v>0.1850698174</v>
      </c>
      <c r="S6" s="544">
        <v>3446.0</v>
      </c>
      <c r="T6" s="545">
        <f t="shared" si="9"/>
        <v>0.717132116</v>
      </c>
      <c r="U6" s="544">
        <f t="shared" si="10"/>
        <v>13353</v>
      </c>
      <c r="V6" s="544">
        <v>10634.0</v>
      </c>
      <c r="W6" s="544">
        <v>2719.0</v>
      </c>
      <c r="X6" s="545">
        <f t="shared" si="11"/>
        <v>0.250698174</v>
      </c>
      <c r="Y6" s="544">
        <v>4668.0</v>
      </c>
      <c r="Z6" s="30">
        <v>28.65</v>
      </c>
      <c r="AA6" s="547">
        <f t="shared" si="12"/>
        <v>0.6768097373</v>
      </c>
      <c r="AB6" s="544">
        <v>2113.0</v>
      </c>
      <c r="AC6" s="547">
        <f t="shared" si="13"/>
        <v>0.9583600256</v>
      </c>
      <c r="AD6" s="544">
        <v>2992.0</v>
      </c>
      <c r="AE6" s="545">
        <f t="shared" si="14"/>
        <v>0.6617552851</v>
      </c>
      <c r="AF6" s="544">
        <v>2066.0</v>
      </c>
      <c r="AG6" s="545">
        <f t="shared" si="15"/>
        <v>0.7008327995</v>
      </c>
      <c r="AH6" s="544">
        <v>2188.0</v>
      </c>
      <c r="AI6" s="547">
        <f t="shared" si="16"/>
        <v>0.6374119154</v>
      </c>
      <c r="AJ6" s="544">
        <v>1990.0</v>
      </c>
      <c r="AK6" s="545">
        <f t="shared" si="17"/>
        <v>0.3228699552</v>
      </c>
      <c r="AL6" s="544">
        <v>1008.0</v>
      </c>
      <c r="AM6" s="545">
        <f t="shared" si="18"/>
        <v>0.5518898142</v>
      </c>
      <c r="AN6" s="544">
        <v>1723.0</v>
      </c>
      <c r="AO6" s="545">
        <f t="shared" si="19"/>
        <v>0.466367713</v>
      </c>
      <c r="AP6" s="544">
        <v>1456.0</v>
      </c>
      <c r="AQ6" s="545">
        <f t="shared" si="20"/>
        <v>0.02978859705</v>
      </c>
      <c r="AR6" s="544">
        <v>93.0</v>
      </c>
      <c r="AS6" s="545">
        <f t="shared" si="21"/>
        <v>0.09417040359</v>
      </c>
      <c r="AT6" s="544">
        <v>294.0</v>
      </c>
      <c r="AU6" s="545">
        <f t="shared" si="22"/>
        <v>0.6848174247</v>
      </c>
      <c r="AV6" s="544">
        <v>2138.0</v>
      </c>
      <c r="AW6" s="7"/>
      <c r="AX6" s="7"/>
      <c r="AY6" s="7"/>
      <c r="AZ6" s="7"/>
      <c r="BA6" s="7"/>
      <c r="BB6" s="7"/>
      <c r="BC6" s="7"/>
    </row>
    <row r="7">
      <c r="A7" s="546"/>
      <c r="B7" s="544" t="s">
        <v>865</v>
      </c>
      <c r="C7" s="544">
        <v>1068.0</v>
      </c>
      <c r="D7" s="545">
        <f t="shared" si="1"/>
        <v>0.3782771536</v>
      </c>
      <c r="E7" s="544">
        <v>404.0</v>
      </c>
      <c r="F7" s="546">
        <f t="shared" si="2"/>
        <v>664</v>
      </c>
      <c r="G7" s="545">
        <f t="shared" si="3"/>
        <v>0.5983146067</v>
      </c>
      <c r="H7" s="544">
        <v>639.0</v>
      </c>
      <c r="I7" s="545">
        <f t="shared" si="4"/>
        <v>0.2752808989</v>
      </c>
      <c r="J7" s="544">
        <v>294.0</v>
      </c>
      <c r="K7" s="545">
        <f t="shared" si="5"/>
        <v>0.015917603</v>
      </c>
      <c r="L7" s="544">
        <v>17.0</v>
      </c>
      <c r="M7" s="544">
        <v>12908.0</v>
      </c>
      <c r="N7" s="544">
        <v>2661.0</v>
      </c>
      <c r="O7" s="546">
        <f t="shared" si="6"/>
        <v>10247</v>
      </c>
      <c r="P7" s="545">
        <f t="shared" si="7"/>
        <v>0.6846916641</v>
      </c>
      <c r="Q7" s="544">
        <v>8838.0</v>
      </c>
      <c r="R7" s="347">
        <f t="shared" si="8"/>
        <v>0.07592190889</v>
      </c>
      <c r="S7" s="544">
        <v>980.0</v>
      </c>
      <c r="T7" s="545">
        <f t="shared" si="9"/>
        <v>0.8714750542</v>
      </c>
      <c r="U7" s="544">
        <f t="shared" si="10"/>
        <v>11249</v>
      </c>
      <c r="V7" s="544">
        <v>5741.0</v>
      </c>
      <c r="W7" s="544">
        <v>5508.0</v>
      </c>
      <c r="X7" s="545">
        <f t="shared" si="11"/>
        <v>0.3151533932</v>
      </c>
      <c r="Y7" s="544">
        <v>4068.0</v>
      </c>
      <c r="Z7" s="30">
        <v>22.71</v>
      </c>
      <c r="AA7" s="547">
        <f t="shared" si="12"/>
        <v>0.9260299625</v>
      </c>
      <c r="AB7" s="544">
        <v>989.0</v>
      </c>
      <c r="AC7" s="547">
        <f t="shared" si="13"/>
        <v>0.8829588015</v>
      </c>
      <c r="AD7" s="544">
        <v>943.0</v>
      </c>
      <c r="AE7" s="545">
        <f t="shared" si="14"/>
        <v>0.558988764</v>
      </c>
      <c r="AF7" s="544">
        <v>597.0</v>
      </c>
      <c r="AG7" s="545">
        <f t="shared" si="15"/>
        <v>0.5711610487</v>
      </c>
      <c r="AH7" s="544">
        <v>610.0</v>
      </c>
      <c r="AI7" s="547">
        <f t="shared" si="16"/>
        <v>0.9382022472</v>
      </c>
      <c r="AJ7" s="544">
        <v>1002.0</v>
      </c>
      <c r="AK7" s="545">
        <f t="shared" si="17"/>
        <v>0.4119850187</v>
      </c>
      <c r="AL7" s="544">
        <v>440.0</v>
      </c>
      <c r="AM7" s="545">
        <f t="shared" si="18"/>
        <v>0.4812734082</v>
      </c>
      <c r="AN7" s="544">
        <v>514.0</v>
      </c>
      <c r="AO7" s="545">
        <f t="shared" si="19"/>
        <v>0.7350187266</v>
      </c>
      <c r="AP7" s="544">
        <v>785.0</v>
      </c>
      <c r="AQ7" s="545">
        <f t="shared" si="20"/>
        <v>0.1179775281</v>
      </c>
      <c r="AR7" s="544">
        <v>126.0</v>
      </c>
      <c r="AS7" s="545">
        <f t="shared" si="21"/>
        <v>0.2284644195</v>
      </c>
      <c r="AT7" s="544">
        <v>244.0</v>
      </c>
      <c r="AU7" s="545">
        <f t="shared" si="22"/>
        <v>0.6039325843</v>
      </c>
      <c r="AV7" s="544">
        <v>645.0</v>
      </c>
      <c r="AW7" s="7"/>
      <c r="AX7" s="7"/>
      <c r="AY7" s="7"/>
      <c r="AZ7" s="7"/>
      <c r="BA7" s="7"/>
      <c r="BB7" s="7"/>
      <c r="BC7" s="7"/>
    </row>
    <row r="8">
      <c r="A8" s="546"/>
      <c r="B8" s="544" t="s">
        <v>866</v>
      </c>
      <c r="C8" s="544">
        <v>2668.0</v>
      </c>
      <c r="D8" s="545">
        <f t="shared" si="1"/>
        <v>0.9816341829</v>
      </c>
      <c r="E8" s="544">
        <v>2619.0</v>
      </c>
      <c r="F8" s="546">
        <f t="shared" si="2"/>
        <v>49</v>
      </c>
      <c r="G8" s="545">
        <f t="shared" si="3"/>
        <v>0.8077211394</v>
      </c>
      <c r="H8" s="544">
        <v>2155.0</v>
      </c>
      <c r="I8" s="545">
        <f t="shared" si="4"/>
        <v>0.1000749625</v>
      </c>
      <c r="J8" s="544">
        <v>267.0</v>
      </c>
      <c r="K8" s="547">
        <f t="shared" si="5"/>
        <v>0.004122938531</v>
      </c>
      <c r="L8" s="544">
        <v>11.0</v>
      </c>
      <c r="M8" s="544">
        <v>15919.0</v>
      </c>
      <c r="N8" s="544">
        <v>15334.0</v>
      </c>
      <c r="O8" s="546">
        <f t="shared" si="6"/>
        <v>585</v>
      </c>
      <c r="P8" s="545">
        <f t="shared" si="7"/>
        <v>0.3981405867</v>
      </c>
      <c r="Q8" s="544">
        <v>6338.0</v>
      </c>
      <c r="R8" s="347">
        <f t="shared" si="8"/>
        <v>0.1617563917</v>
      </c>
      <c r="S8" s="544">
        <v>2575.0</v>
      </c>
      <c r="T8" s="545">
        <f t="shared" si="9"/>
        <v>0.7658772536</v>
      </c>
      <c r="U8" s="544">
        <f t="shared" si="10"/>
        <v>12192</v>
      </c>
      <c r="V8" s="544">
        <v>8899.0</v>
      </c>
      <c r="W8" s="544">
        <v>3293.0</v>
      </c>
      <c r="X8" s="545">
        <f t="shared" si="11"/>
        <v>0.2467491677</v>
      </c>
      <c r="Y8" s="544">
        <v>3928.0</v>
      </c>
      <c r="Z8" s="30">
        <v>22.03</v>
      </c>
      <c r="AA8" s="547">
        <f t="shared" si="12"/>
        <v>0.8665667166</v>
      </c>
      <c r="AB8" s="544">
        <v>2312.0</v>
      </c>
      <c r="AC8" s="547">
        <f t="shared" si="13"/>
        <v>0.9673913043</v>
      </c>
      <c r="AD8" s="544">
        <v>2581.0</v>
      </c>
      <c r="AE8" s="545">
        <f t="shared" si="14"/>
        <v>0.6574212894</v>
      </c>
      <c r="AF8" s="544">
        <v>1754.0</v>
      </c>
      <c r="AG8" s="545">
        <f t="shared" si="15"/>
        <v>0.7931034483</v>
      </c>
      <c r="AH8" s="544">
        <v>2116.0</v>
      </c>
      <c r="AI8" s="547">
        <f t="shared" si="16"/>
        <v>0.8733133433</v>
      </c>
      <c r="AJ8" s="544">
        <v>2330.0</v>
      </c>
      <c r="AK8" s="545">
        <f t="shared" si="17"/>
        <v>0.3129685157</v>
      </c>
      <c r="AL8" s="544">
        <v>835.0</v>
      </c>
      <c r="AM8" s="545">
        <f t="shared" si="18"/>
        <v>0.7353823088</v>
      </c>
      <c r="AN8" s="544">
        <v>1962.0</v>
      </c>
      <c r="AO8" s="545">
        <f t="shared" si="19"/>
        <v>0.8317091454</v>
      </c>
      <c r="AP8" s="544">
        <v>2219.0</v>
      </c>
      <c r="AQ8" s="545">
        <f t="shared" si="20"/>
        <v>0.03223388306</v>
      </c>
      <c r="AR8" s="544">
        <v>86.0</v>
      </c>
      <c r="AS8" s="545">
        <f t="shared" si="21"/>
        <v>0.06184407796</v>
      </c>
      <c r="AT8" s="544">
        <v>165.0</v>
      </c>
      <c r="AU8" s="545">
        <f t="shared" si="22"/>
        <v>0.7942278861</v>
      </c>
      <c r="AV8" s="544">
        <v>2119.0</v>
      </c>
      <c r="AW8" s="7"/>
      <c r="AX8" s="7"/>
      <c r="AY8" s="7"/>
      <c r="AZ8" s="7"/>
      <c r="BA8" s="7"/>
      <c r="BB8" s="7"/>
      <c r="BC8" s="7"/>
    </row>
    <row r="9">
      <c r="A9" s="548"/>
      <c r="B9" s="549" t="s">
        <v>867</v>
      </c>
      <c r="C9" s="447">
        <v>60859.0</v>
      </c>
      <c r="D9" s="550">
        <f t="shared" si="1"/>
        <v>0.9443632002</v>
      </c>
      <c r="E9" s="447">
        <v>57473.0</v>
      </c>
      <c r="F9" s="447">
        <v>3386.0</v>
      </c>
      <c r="G9" s="550">
        <f t="shared" si="3"/>
        <v>0.7457894477</v>
      </c>
      <c r="H9" s="549">
        <v>45388.0</v>
      </c>
      <c r="I9" s="550">
        <f t="shared" si="4"/>
        <v>0.09615669005</v>
      </c>
      <c r="J9" s="549">
        <v>5852.0</v>
      </c>
      <c r="K9" s="550">
        <f t="shared" si="5"/>
        <v>0.05522601423</v>
      </c>
      <c r="L9" s="549">
        <v>3361.0</v>
      </c>
      <c r="M9" s="549">
        <v>352944.0</v>
      </c>
      <c r="N9" s="549">
        <v>306838.0</v>
      </c>
      <c r="O9" s="548">
        <f t="shared" si="6"/>
        <v>46106</v>
      </c>
      <c r="P9" s="550">
        <f t="shared" si="7"/>
        <v>0.4101273856</v>
      </c>
      <c r="Q9" s="447">
        <v>144752.0</v>
      </c>
      <c r="R9" s="551">
        <f t="shared" si="8"/>
        <v>0.197331588</v>
      </c>
      <c r="S9" s="447">
        <v>69647.0</v>
      </c>
      <c r="T9" s="550">
        <f t="shared" si="9"/>
        <v>0.7076816719</v>
      </c>
      <c r="U9" s="552">
        <f t="shared" si="10"/>
        <v>249772</v>
      </c>
      <c r="V9" s="553">
        <v>180120.0</v>
      </c>
      <c r="W9" s="553">
        <v>69652.0</v>
      </c>
      <c r="X9" s="550">
        <f t="shared" si="11"/>
        <v>0.340170112</v>
      </c>
      <c r="Y9" s="553">
        <v>120061.0</v>
      </c>
      <c r="Z9" s="552">
        <v>23.0</v>
      </c>
      <c r="AA9" s="554">
        <f t="shared" si="12"/>
        <v>0.615652574</v>
      </c>
      <c r="AB9" s="549">
        <v>37468.0</v>
      </c>
      <c r="AC9" s="554">
        <f t="shared" si="13"/>
        <v>0.9133571041</v>
      </c>
      <c r="AD9" s="549">
        <v>55586.0</v>
      </c>
      <c r="AE9" s="550">
        <f t="shared" si="14"/>
        <v>0.7649813503</v>
      </c>
      <c r="AF9" s="549">
        <v>46556.0</v>
      </c>
      <c r="AG9" s="550">
        <f t="shared" si="15"/>
        <v>0.8242002005</v>
      </c>
      <c r="AH9" s="549">
        <v>50160.0</v>
      </c>
      <c r="AI9" s="554">
        <f t="shared" si="16"/>
        <v>0.7506367177</v>
      </c>
      <c r="AJ9" s="549">
        <v>45683.0</v>
      </c>
      <c r="AK9" s="550">
        <f t="shared" si="17"/>
        <v>0.2894066613</v>
      </c>
      <c r="AL9" s="549">
        <v>17613.0</v>
      </c>
      <c r="AM9" s="550">
        <f t="shared" si="18"/>
        <v>0.615652574</v>
      </c>
      <c r="AN9" s="549">
        <v>37468.0</v>
      </c>
      <c r="AO9" s="550">
        <f t="shared" si="19"/>
        <v>0.7251022856</v>
      </c>
      <c r="AP9" s="549">
        <v>44129.0</v>
      </c>
      <c r="AQ9" s="550">
        <f t="shared" si="20"/>
        <v>0.0982927751</v>
      </c>
      <c r="AR9" s="549">
        <v>5982.0</v>
      </c>
      <c r="AS9" s="550">
        <f t="shared" si="21"/>
        <v>0.1170903235</v>
      </c>
      <c r="AT9" s="549">
        <v>7126.0</v>
      </c>
      <c r="AU9" s="550">
        <f t="shared" si="22"/>
        <v>0.6953285463</v>
      </c>
      <c r="AV9" s="549">
        <v>42317.0</v>
      </c>
      <c r="AW9" s="555"/>
      <c r="AX9" s="555"/>
      <c r="AY9" s="555"/>
      <c r="AZ9" s="555"/>
      <c r="BA9" s="555"/>
      <c r="BB9" s="555"/>
      <c r="BC9" s="555"/>
    </row>
    <row r="10">
      <c r="A10" s="544" t="s">
        <v>154</v>
      </c>
      <c r="B10" s="544" t="s">
        <v>868</v>
      </c>
      <c r="C10" s="544">
        <v>3964.0</v>
      </c>
      <c r="D10" s="545">
        <f t="shared" si="1"/>
        <v>0.9202825429</v>
      </c>
      <c r="E10" s="544">
        <v>3648.0</v>
      </c>
      <c r="F10" s="546">
        <f t="shared" ref="F10:F12" si="23">C10-E10</f>
        <v>316</v>
      </c>
      <c r="G10" s="545">
        <f t="shared" si="3"/>
        <v>0.8206357215</v>
      </c>
      <c r="H10" s="544">
        <v>3253.0</v>
      </c>
      <c r="I10" s="545">
        <f t="shared" si="4"/>
        <v>0.04414732593</v>
      </c>
      <c r="J10" s="544">
        <v>175.0</v>
      </c>
      <c r="K10" s="545">
        <f t="shared" si="5"/>
        <v>0.0587790111</v>
      </c>
      <c r="L10" s="544">
        <v>233.0</v>
      </c>
      <c r="M10" s="544">
        <v>25225.0</v>
      </c>
      <c r="N10" s="544">
        <v>21773.0</v>
      </c>
      <c r="O10" s="546">
        <f t="shared" si="6"/>
        <v>3452</v>
      </c>
      <c r="P10" s="545">
        <f t="shared" si="7"/>
        <v>0.4440832507</v>
      </c>
      <c r="Q10" s="544">
        <v>11202.0</v>
      </c>
      <c r="R10" s="347">
        <f t="shared" si="8"/>
        <v>0.01962338949</v>
      </c>
      <c r="S10" s="544">
        <v>495.0</v>
      </c>
      <c r="T10" s="545">
        <f t="shared" si="9"/>
        <v>0.7672943508</v>
      </c>
      <c r="U10" s="544">
        <f t="shared" si="10"/>
        <v>19355</v>
      </c>
      <c r="V10" s="544">
        <v>11191.0</v>
      </c>
      <c r="W10" s="544">
        <v>8164.0</v>
      </c>
      <c r="X10" s="545">
        <f t="shared" si="11"/>
        <v>0.01209117939</v>
      </c>
      <c r="Y10" s="544">
        <v>305.0</v>
      </c>
      <c r="Z10" s="30">
        <v>57.82</v>
      </c>
      <c r="AA10" s="547">
        <f t="shared" si="12"/>
        <v>0.8723511604</v>
      </c>
      <c r="AB10" s="544">
        <v>3458.0</v>
      </c>
      <c r="AC10" s="547">
        <f t="shared" si="13"/>
        <v>0.9800706357</v>
      </c>
      <c r="AD10" s="544">
        <v>3885.0</v>
      </c>
      <c r="AE10" s="545">
        <f t="shared" si="14"/>
        <v>0.7020686176</v>
      </c>
      <c r="AF10" s="544">
        <v>2783.0</v>
      </c>
      <c r="AG10" s="545">
        <f t="shared" si="15"/>
        <v>0.7071140262</v>
      </c>
      <c r="AH10" s="544">
        <v>2803.0</v>
      </c>
      <c r="AI10" s="547">
        <f t="shared" si="16"/>
        <v>0.7386478305</v>
      </c>
      <c r="AJ10" s="544">
        <v>2928.0</v>
      </c>
      <c r="AK10" s="545">
        <f t="shared" si="17"/>
        <v>0.4339051463</v>
      </c>
      <c r="AL10" s="544">
        <v>1720.0</v>
      </c>
      <c r="AM10" s="545">
        <f t="shared" si="18"/>
        <v>0.2103935419</v>
      </c>
      <c r="AN10" s="544">
        <v>834.0</v>
      </c>
      <c r="AO10" s="545">
        <f t="shared" si="19"/>
        <v>0.2580726539</v>
      </c>
      <c r="AP10" s="544">
        <v>1023.0</v>
      </c>
      <c r="AQ10" s="545">
        <f t="shared" si="20"/>
        <v>0.06079717457</v>
      </c>
      <c r="AR10" s="544">
        <v>241.0</v>
      </c>
      <c r="AS10" s="545">
        <f t="shared" si="21"/>
        <v>0.1654894046</v>
      </c>
      <c r="AT10" s="544">
        <v>656.0</v>
      </c>
      <c r="AU10" s="545">
        <f t="shared" si="22"/>
        <v>0.2320887992</v>
      </c>
      <c r="AV10" s="544">
        <v>920.0</v>
      </c>
      <c r="AW10" s="7"/>
      <c r="AX10" s="7"/>
      <c r="AY10" s="7"/>
      <c r="AZ10" s="7"/>
      <c r="BA10" s="7"/>
      <c r="BB10" s="7"/>
      <c r="BC10" s="7"/>
    </row>
    <row r="11">
      <c r="A11" s="544"/>
      <c r="B11" s="544" t="s">
        <v>869</v>
      </c>
      <c r="C11" s="544">
        <v>2889.0</v>
      </c>
      <c r="D11" s="545">
        <f t="shared" si="1"/>
        <v>0.8805815161</v>
      </c>
      <c r="E11" s="544">
        <v>2544.0</v>
      </c>
      <c r="F11" s="546">
        <f t="shared" si="23"/>
        <v>345</v>
      </c>
      <c r="G11" s="545">
        <f t="shared" si="3"/>
        <v>0.8037383178</v>
      </c>
      <c r="H11" s="544">
        <v>2322.0</v>
      </c>
      <c r="I11" s="545">
        <f t="shared" si="4"/>
        <v>0.06611284181</v>
      </c>
      <c r="J11" s="544">
        <v>191.0</v>
      </c>
      <c r="K11" s="545">
        <f t="shared" si="5"/>
        <v>0.1166493596</v>
      </c>
      <c r="L11" s="544">
        <v>337.0</v>
      </c>
      <c r="M11" s="544">
        <v>15881.0</v>
      </c>
      <c r="N11" s="544">
        <v>12252.0</v>
      </c>
      <c r="O11" s="546">
        <f t="shared" si="6"/>
        <v>3629</v>
      </c>
      <c r="P11" s="545">
        <f t="shared" si="7"/>
        <v>0.3694351741</v>
      </c>
      <c r="Q11" s="544">
        <v>5867.0</v>
      </c>
      <c r="R11" s="347">
        <f t="shared" si="8"/>
        <v>0.026194824</v>
      </c>
      <c r="S11" s="544">
        <v>416.0</v>
      </c>
      <c r="T11" s="545">
        <f t="shared" si="9"/>
        <v>0.5890057301</v>
      </c>
      <c r="U11" s="544">
        <f t="shared" si="10"/>
        <v>9354</v>
      </c>
      <c r="V11" s="544">
        <v>6149.0</v>
      </c>
      <c r="W11" s="544">
        <v>3205.0</v>
      </c>
      <c r="X11" s="545">
        <f t="shared" si="11"/>
        <v>0.03501038977</v>
      </c>
      <c r="Y11" s="544">
        <v>556.0</v>
      </c>
      <c r="Z11" s="30">
        <v>74.45</v>
      </c>
      <c r="AA11" s="547">
        <f t="shared" si="12"/>
        <v>0.9920387677</v>
      </c>
      <c r="AB11" s="544">
        <v>2866.0</v>
      </c>
      <c r="AC11" s="547">
        <f t="shared" si="13"/>
        <v>1</v>
      </c>
      <c r="AD11" s="544">
        <v>2889.0</v>
      </c>
      <c r="AE11" s="545">
        <f t="shared" si="14"/>
        <v>0.7130494981</v>
      </c>
      <c r="AF11" s="544">
        <v>2060.0</v>
      </c>
      <c r="AG11" s="545">
        <f t="shared" si="15"/>
        <v>0.7120110765</v>
      </c>
      <c r="AH11" s="544">
        <v>2057.0</v>
      </c>
      <c r="AI11" s="547">
        <f t="shared" si="16"/>
        <v>0.9373485635</v>
      </c>
      <c r="AJ11" s="544">
        <v>2708.0</v>
      </c>
      <c r="AK11" s="545">
        <f t="shared" si="17"/>
        <v>0.5870543441</v>
      </c>
      <c r="AL11" s="544">
        <v>1696.0</v>
      </c>
      <c r="AM11" s="545">
        <f t="shared" si="18"/>
        <v>0.392177224</v>
      </c>
      <c r="AN11" s="544">
        <v>1133.0</v>
      </c>
      <c r="AO11" s="545">
        <f t="shared" si="19"/>
        <v>0.8705434406</v>
      </c>
      <c r="AP11" s="544">
        <v>2515.0</v>
      </c>
      <c r="AQ11" s="545">
        <f t="shared" si="20"/>
        <v>0.06853582555</v>
      </c>
      <c r="AR11" s="544">
        <v>198.0</v>
      </c>
      <c r="AS11" s="545">
        <f t="shared" si="21"/>
        <v>0.06611284181</v>
      </c>
      <c r="AT11" s="544">
        <v>191.0</v>
      </c>
      <c r="AU11" s="545">
        <f t="shared" si="22"/>
        <v>0.3122187608</v>
      </c>
      <c r="AV11" s="544">
        <v>902.0</v>
      </c>
      <c r="AW11" s="7"/>
      <c r="AX11" s="7"/>
      <c r="AY11" s="7"/>
      <c r="AZ11" s="7"/>
      <c r="BA11" s="7"/>
      <c r="BB11" s="7"/>
      <c r="BC11" s="7"/>
    </row>
    <row r="12">
      <c r="A12" s="544"/>
      <c r="B12" s="544" t="s">
        <v>870</v>
      </c>
      <c r="C12" s="544">
        <v>4779.0</v>
      </c>
      <c r="D12" s="545">
        <f t="shared" si="1"/>
        <v>0.6995187278</v>
      </c>
      <c r="E12" s="544">
        <v>3343.0</v>
      </c>
      <c r="F12" s="546">
        <f t="shared" si="23"/>
        <v>1436</v>
      </c>
      <c r="G12" s="545">
        <f t="shared" si="3"/>
        <v>0.7302783009</v>
      </c>
      <c r="H12" s="544">
        <v>3490.0</v>
      </c>
      <c r="I12" s="545">
        <f t="shared" si="4"/>
        <v>0.09583594894</v>
      </c>
      <c r="J12" s="544">
        <v>458.0</v>
      </c>
      <c r="K12" s="545">
        <f t="shared" si="5"/>
        <v>0.05545093116</v>
      </c>
      <c r="L12" s="544">
        <v>265.0</v>
      </c>
      <c r="M12" s="544">
        <v>36224.0</v>
      </c>
      <c r="N12" s="544">
        <v>19915.0</v>
      </c>
      <c r="O12" s="546">
        <f t="shared" si="6"/>
        <v>16309</v>
      </c>
      <c r="P12" s="545">
        <f t="shared" si="7"/>
        <v>0.5012974823</v>
      </c>
      <c r="Q12" s="544">
        <v>18159.0</v>
      </c>
      <c r="R12" s="347">
        <f t="shared" si="8"/>
        <v>0.02989730565</v>
      </c>
      <c r="S12" s="544">
        <v>1083.0</v>
      </c>
      <c r="T12" s="545">
        <f t="shared" si="9"/>
        <v>0.8105399735</v>
      </c>
      <c r="U12" s="544">
        <f t="shared" si="10"/>
        <v>29361</v>
      </c>
      <c r="V12" s="544">
        <v>16526.0</v>
      </c>
      <c r="W12" s="544">
        <v>12835.0</v>
      </c>
      <c r="X12" s="545">
        <f t="shared" si="11"/>
        <v>0.1117491166</v>
      </c>
      <c r="Y12" s="544">
        <v>4048.0</v>
      </c>
      <c r="Z12" s="30">
        <v>44.85</v>
      </c>
      <c r="AA12" s="547">
        <f t="shared" si="12"/>
        <v>0.8633605357</v>
      </c>
      <c r="AB12" s="544">
        <v>4126.0</v>
      </c>
      <c r="AC12" s="547">
        <f t="shared" si="13"/>
        <v>0.9924670433</v>
      </c>
      <c r="AD12" s="544">
        <v>4743.0</v>
      </c>
      <c r="AE12" s="545">
        <f t="shared" si="14"/>
        <v>0.6306758736</v>
      </c>
      <c r="AF12" s="544">
        <v>3014.0</v>
      </c>
      <c r="AG12" s="545">
        <f t="shared" si="15"/>
        <v>0.6474157774</v>
      </c>
      <c r="AH12" s="544">
        <v>3094.0</v>
      </c>
      <c r="AI12" s="547">
        <f t="shared" si="16"/>
        <v>0.9813768571</v>
      </c>
      <c r="AJ12" s="544">
        <v>4690.0</v>
      </c>
      <c r="AK12" s="545">
        <f t="shared" si="17"/>
        <v>0.7472274534</v>
      </c>
      <c r="AL12" s="544">
        <v>3571.0</v>
      </c>
      <c r="AM12" s="545">
        <f t="shared" si="18"/>
        <v>0.1213643022</v>
      </c>
      <c r="AN12" s="544">
        <v>580.0</v>
      </c>
      <c r="AO12" s="545">
        <f t="shared" si="19"/>
        <v>0.3193136639</v>
      </c>
      <c r="AP12" s="544">
        <v>1526.0</v>
      </c>
      <c r="AQ12" s="545">
        <f t="shared" si="20"/>
        <v>0.1077631304</v>
      </c>
      <c r="AR12" s="544">
        <v>515.0</v>
      </c>
      <c r="AS12" s="545">
        <f t="shared" si="21"/>
        <v>0.1922996443</v>
      </c>
      <c r="AT12" s="544">
        <v>919.0</v>
      </c>
      <c r="AU12" s="545">
        <f t="shared" si="22"/>
        <v>0.3674408872</v>
      </c>
      <c r="AV12" s="544">
        <v>1756.0</v>
      </c>
      <c r="AW12" s="7"/>
      <c r="AX12" s="7"/>
      <c r="AY12" s="7"/>
      <c r="AZ12" s="7"/>
      <c r="BA12" s="7"/>
      <c r="BB12" s="7"/>
      <c r="BC12" s="7"/>
    </row>
    <row r="13">
      <c r="A13" s="549"/>
      <c r="B13" s="549" t="s">
        <v>867</v>
      </c>
      <c r="C13" s="556">
        <v>93165.0</v>
      </c>
      <c r="D13" s="550">
        <f t="shared" si="1"/>
        <v>0.9020554929</v>
      </c>
      <c r="E13" s="557">
        <v>84040.0</v>
      </c>
      <c r="F13" s="557">
        <v>9125.0</v>
      </c>
      <c r="G13" s="550">
        <f t="shared" si="3"/>
        <v>0.8091879998</v>
      </c>
      <c r="H13" s="549">
        <v>75388.0</v>
      </c>
      <c r="I13" s="550">
        <f t="shared" si="4"/>
        <v>0.0869103204</v>
      </c>
      <c r="J13" s="549">
        <v>8097.0</v>
      </c>
      <c r="K13" s="550">
        <f t="shared" si="5"/>
        <v>0.05610476037</v>
      </c>
      <c r="L13" s="549">
        <v>5227.0</v>
      </c>
      <c r="M13" s="549">
        <v>582876.0</v>
      </c>
      <c r="N13" s="549">
        <v>490913.0</v>
      </c>
      <c r="O13" s="548">
        <f t="shared" si="6"/>
        <v>91963</v>
      </c>
      <c r="P13" s="550">
        <f t="shared" si="7"/>
        <v>0.4026859915</v>
      </c>
      <c r="Q13" s="447">
        <v>234716.0</v>
      </c>
      <c r="R13" s="551">
        <f t="shared" si="8"/>
        <v>0.04484315704</v>
      </c>
      <c r="S13" s="447">
        <v>26138.0</v>
      </c>
      <c r="T13" s="550">
        <f t="shared" si="9"/>
        <v>0.6668142109</v>
      </c>
      <c r="U13" s="552">
        <f t="shared" si="10"/>
        <v>388670</v>
      </c>
      <c r="V13" s="553">
        <v>229086.0</v>
      </c>
      <c r="W13" s="553">
        <v>159584.0</v>
      </c>
      <c r="X13" s="550">
        <f t="shared" si="11"/>
        <v>0.1483437301</v>
      </c>
      <c r="Y13" s="553">
        <v>86466.0</v>
      </c>
      <c r="Z13" s="552">
        <v>53.0</v>
      </c>
      <c r="AA13" s="554">
        <f t="shared" si="12"/>
        <v>0.9745719959</v>
      </c>
      <c r="AB13" s="549">
        <v>90796.0</v>
      </c>
      <c r="AC13" s="554">
        <f t="shared" si="13"/>
        <v>0.9926045189</v>
      </c>
      <c r="AD13" s="549">
        <v>92476.0</v>
      </c>
      <c r="AE13" s="550">
        <f t="shared" si="14"/>
        <v>0.9553158375</v>
      </c>
      <c r="AF13" s="549">
        <v>89002.0</v>
      </c>
      <c r="AG13" s="550">
        <f t="shared" si="15"/>
        <v>0.9745719959</v>
      </c>
      <c r="AH13" s="549">
        <v>90796.0</v>
      </c>
      <c r="AI13" s="554">
        <f t="shared" si="16"/>
        <v>0.8754789889</v>
      </c>
      <c r="AJ13" s="549">
        <v>81564.0</v>
      </c>
      <c r="AK13" s="550">
        <f t="shared" si="17"/>
        <v>0.58816079</v>
      </c>
      <c r="AL13" s="549">
        <v>54796.0</v>
      </c>
      <c r="AM13" s="550">
        <f t="shared" si="18"/>
        <v>0.3751301454</v>
      </c>
      <c r="AN13" s="549">
        <v>34949.0</v>
      </c>
      <c r="AO13" s="550">
        <f t="shared" si="19"/>
        <v>0.3958246122</v>
      </c>
      <c r="AP13" s="549">
        <v>36877.0</v>
      </c>
      <c r="AQ13" s="550">
        <f t="shared" si="20"/>
        <v>0.09242741373</v>
      </c>
      <c r="AR13" s="549">
        <v>8611.0</v>
      </c>
      <c r="AS13" s="550">
        <f t="shared" si="21"/>
        <v>0.1114259647</v>
      </c>
      <c r="AT13" s="549">
        <v>10381.0</v>
      </c>
      <c r="AU13" s="550">
        <f t="shared" si="22"/>
        <v>0.3489185853</v>
      </c>
      <c r="AV13" s="549">
        <v>32507.0</v>
      </c>
      <c r="AW13" s="555"/>
      <c r="AX13" s="555"/>
      <c r="AY13" s="555"/>
      <c r="AZ13" s="555"/>
      <c r="BA13" s="555"/>
      <c r="BB13" s="555"/>
      <c r="BC13" s="555"/>
    </row>
    <row r="14">
      <c r="A14" s="544" t="s">
        <v>157</v>
      </c>
      <c r="B14" s="544" t="s">
        <v>871</v>
      </c>
      <c r="C14" s="544">
        <v>2495.0</v>
      </c>
      <c r="D14" s="545">
        <f t="shared" si="1"/>
        <v>0.8320641283</v>
      </c>
      <c r="E14" s="544">
        <v>2076.0</v>
      </c>
      <c r="F14" s="546">
        <f t="shared" ref="F14:F16" si="24">C14-E14</f>
        <v>419</v>
      </c>
      <c r="G14" s="545">
        <f t="shared" si="3"/>
        <v>0.8709418838</v>
      </c>
      <c r="H14" s="544">
        <v>2173.0</v>
      </c>
      <c r="I14" s="545">
        <f t="shared" si="4"/>
        <v>0.122244489</v>
      </c>
      <c r="J14" s="544">
        <v>305.0</v>
      </c>
      <c r="K14" s="545">
        <f t="shared" si="5"/>
        <v>0.1142284569</v>
      </c>
      <c r="L14" s="544">
        <v>285.0</v>
      </c>
      <c r="M14" s="544">
        <v>11077.0</v>
      </c>
      <c r="N14" s="544">
        <v>7213.0</v>
      </c>
      <c r="O14" s="546">
        <f t="shared" si="6"/>
        <v>3864</v>
      </c>
      <c r="P14" s="545">
        <f t="shared" si="7"/>
        <v>0.5191838946</v>
      </c>
      <c r="Q14" s="544">
        <v>5751.0</v>
      </c>
      <c r="R14" s="347">
        <f t="shared" si="8"/>
        <v>0.08513135325</v>
      </c>
      <c r="S14" s="544">
        <v>943.0</v>
      </c>
      <c r="T14" s="545">
        <f t="shared" si="9"/>
        <v>0.8941951792</v>
      </c>
      <c r="U14" s="544">
        <f t="shared" si="10"/>
        <v>9905</v>
      </c>
      <c r="V14" s="544">
        <v>2863.0</v>
      </c>
      <c r="W14" s="544">
        <v>7042.0</v>
      </c>
      <c r="X14" s="545">
        <f t="shared" si="11"/>
        <v>0.0843188589</v>
      </c>
      <c r="Y14" s="544">
        <v>934.0</v>
      </c>
      <c r="Z14" s="30">
        <v>24.6</v>
      </c>
      <c r="AA14" s="547">
        <f t="shared" si="12"/>
        <v>0.9374749499</v>
      </c>
      <c r="AB14" s="544">
        <v>2339.0</v>
      </c>
      <c r="AC14" s="547">
        <f t="shared" si="13"/>
        <v>0.9815631263</v>
      </c>
      <c r="AD14" s="544">
        <v>2449.0</v>
      </c>
      <c r="AE14" s="545">
        <f t="shared" si="14"/>
        <v>0.597995992</v>
      </c>
      <c r="AF14" s="544">
        <v>1492.0</v>
      </c>
      <c r="AG14" s="545">
        <f t="shared" si="15"/>
        <v>0.7398797595</v>
      </c>
      <c r="AH14" s="544">
        <v>1846.0</v>
      </c>
      <c r="AI14" s="547">
        <f t="shared" si="16"/>
        <v>0.8400801603</v>
      </c>
      <c r="AJ14" s="544">
        <v>2096.0</v>
      </c>
      <c r="AK14" s="545">
        <f t="shared" si="17"/>
        <v>0.5567134269</v>
      </c>
      <c r="AL14" s="544">
        <v>1389.0</v>
      </c>
      <c r="AM14" s="545">
        <f t="shared" si="18"/>
        <v>0.479759519</v>
      </c>
      <c r="AN14" s="544">
        <v>1197.0</v>
      </c>
      <c r="AO14" s="545">
        <f t="shared" si="19"/>
        <v>0.9358717435</v>
      </c>
      <c r="AP14" s="544">
        <v>2335.0</v>
      </c>
      <c r="AQ14" s="545">
        <f t="shared" si="20"/>
        <v>0.1306613226</v>
      </c>
      <c r="AR14" s="544">
        <v>326.0</v>
      </c>
      <c r="AS14" s="545">
        <f t="shared" si="21"/>
        <v>0.2829659319</v>
      </c>
      <c r="AT14" s="544">
        <v>706.0</v>
      </c>
      <c r="AU14" s="545">
        <f t="shared" si="22"/>
        <v>0.8076152305</v>
      </c>
      <c r="AV14" s="544">
        <v>2015.0</v>
      </c>
      <c r="AW14" s="7"/>
      <c r="AX14" s="7"/>
      <c r="AY14" s="7"/>
      <c r="AZ14" s="7"/>
      <c r="BA14" s="7"/>
      <c r="BB14" s="7"/>
      <c r="BC14" s="7"/>
    </row>
    <row r="15">
      <c r="A15" s="546"/>
      <c r="B15" s="544" t="s">
        <v>872</v>
      </c>
      <c r="C15" s="544">
        <v>2514.0</v>
      </c>
      <c r="D15" s="545">
        <f t="shared" si="1"/>
        <v>0.9347653142</v>
      </c>
      <c r="E15" s="544">
        <v>2350.0</v>
      </c>
      <c r="F15" s="546">
        <f t="shared" si="24"/>
        <v>164</v>
      </c>
      <c r="G15" s="545">
        <f t="shared" si="3"/>
        <v>0.9276054097</v>
      </c>
      <c r="H15" s="544">
        <v>2332.0</v>
      </c>
      <c r="I15" s="545">
        <f t="shared" si="4"/>
        <v>0.05449482896</v>
      </c>
      <c r="J15" s="544">
        <v>137.0</v>
      </c>
      <c r="K15" s="545">
        <f t="shared" si="5"/>
        <v>0.3257756563</v>
      </c>
      <c r="L15" s="544">
        <v>819.0</v>
      </c>
      <c r="M15" s="544">
        <v>8611.0</v>
      </c>
      <c r="N15" s="544">
        <v>7208.0</v>
      </c>
      <c r="O15" s="546">
        <f t="shared" si="6"/>
        <v>1403</v>
      </c>
      <c r="P15" s="545">
        <f t="shared" si="7"/>
        <v>0.4901869702</v>
      </c>
      <c r="Q15" s="544">
        <v>4221.0</v>
      </c>
      <c r="R15" s="347">
        <f t="shared" si="8"/>
        <v>0.07548484497</v>
      </c>
      <c r="S15" s="544">
        <v>650.0</v>
      </c>
      <c r="T15" s="545">
        <f t="shared" si="9"/>
        <v>0.8895598653</v>
      </c>
      <c r="U15" s="544">
        <f t="shared" si="10"/>
        <v>7660</v>
      </c>
      <c r="V15" s="544">
        <v>2530.0</v>
      </c>
      <c r="W15" s="544">
        <v>5130.0</v>
      </c>
      <c r="X15" s="545">
        <f t="shared" si="11"/>
        <v>0.06189757287</v>
      </c>
      <c r="Y15" s="544">
        <v>533.0</v>
      </c>
      <c r="Z15" s="30">
        <v>24.69</v>
      </c>
      <c r="AA15" s="547">
        <f t="shared" si="12"/>
        <v>0.9339697693</v>
      </c>
      <c r="AB15" s="544">
        <v>2348.0</v>
      </c>
      <c r="AC15" s="547">
        <f t="shared" si="13"/>
        <v>0.9518695306</v>
      </c>
      <c r="AD15" s="544">
        <v>2393.0</v>
      </c>
      <c r="AE15" s="545">
        <f t="shared" si="14"/>
        <v>0.6945107399</v>
      </c>
      <c r="AF15" s="544">
        <v>1746.0</v>
      </c>
      <c r="AG15" s="545">
        <f t="shared" si="15"/>
        <v>0.7971360382</v>
      </c>
      <c r="AH15" s="544">
        <v>2004.0</v>
      </c>
      <c r="AI15" s="547">
        <f t="shared" si="16"/>
        <v>0.8524264121</v>
      </c>
      <c r="AJ15" s="544">
        <v>2143.0</v>
      </c>
      <c r="AK15" s="545">
        <f t="shared" si="17"/>
        <v>0.5934765314</v>
      </c>
      <c r="AL15" s="544">
        <v>1492.0</v>
      </c>
      <c r="AM15" s="545">
        <f t="shared" si="18"/>
        <v>0.5978520286</v>
      </c>
      <c r="AN15" s="544">
        <v>1503.0</v>
      </c>
      <c r="AO15" s="545">
        <f t="shared" si="19"/>
        <v>0.9566428003</v>
      </c>
      <c r="AP15" s="544">
        <v>2405.0</v>
      </c>
      <c r="AQ15" s="545">
        <f t="shared" si="20"/>
        <v>0.1829753381</v>
      </c>
      <c r="AR15" s="544">
        <v>460.0</v>
      </c>
      <c r="AS15" s="545">
        <f t="shared" si="21"/>
        <v>0.2760540971</v>
      </c>
      <c r="AT15" s="544">
        <v>694.0</v>
      </c>
      <c r="AU15" s="545">
        <f t="shared" si="22"/>
        <v>0.8882259348</v>
      </c>
      <c r="AV15" s="544">
        <v>2233.0</v>
      </c>
      <c r="AW15" s="7"/>
      <c r="AX15" s="7"/>
      <c r="AY15" s="7"/>
      <c r="AZ15" s="7"/>
      <c r="BA15" s="7"/>
      <c r="BB15" s="7"/>
      <c r="BC15" s="7"/>
    </row>
    <row r="16">
      <c r="A16" s="546"/>
      <c r="B16" s="544" t="s">
        <v>873</v>
      </c>
      <c r="C16" s="544">
        <v>2406.0</v>
      </c>
      <c r="D16" s="545">
        <f t="shared" si="1"/>
        <v>0.5532003325</v>
      </c>
      <c r="E16" s="544">
        <v>1331.0</v>
      </c>
      <c r="F16" s="546">
        <f t="shared" si="24"/>
        <v>1075</v>
      </c>
      <c r="G16" s="545">
        <f t="shared" si="3"/>
        <v>0.5901911887</v>
      </c>
      <c r="H16" s="544">
        <v>1420.0</v>
      </c>
      <c r="I16" s="545">
        <f t="shared" si="4"/>
        <v>0.3632585204</v>
      </c>
      <c r="J16" s="544">
        <v>874.0</v>
      </c>
      <c r="K16" s="545">
        <f t="shared" si="5"/>
        <v>0.007481296758</v>
      </c>
      <c r="L16" s="544">
        <v>18.0</v>
      </c>
      <c r="M16" s="544">
        <v>21787.0</v>
      </c>
      <c r="N16" s="544">
        <v>9027.0</v>
      </c>
      <c r="O16" s="546">
        <f t="shared" si="6"/>
        <v>12760</v>
      </c>
      <c r="P16" s="545">
        <f t="shared" si="7"/>
        <v>0.7069353284</v>
      </c>
      <c r="Q16" s="544">
        <v>15402.0</v>
      </c>
      <c r="R16" s="347">
        <f t="shared" si="8"/>
        <v>0.0770643044</v>
      </c>
      <c r="S16" s="544">
        <v>1679.0</v>
      </c>
      <c r="T16" s="545">
        <f t="shared" si="9"/>
        <v>0.9047138202</v>
      </c>
      <c r="U16" s="544">
        <f t="shared" si="10"/>
        <v>19711</v>
      </c>
      <c r="V16" s="544">
        <v>6019.0</v>
      </c>
      <c r="W16" s="544">
        <v>13692.0</v>
      </c>
      <c r="X16" s="545">
        <f t="shared" si="11"/>
        <v>0.1416440997</v>
      </c>
      <c r="Y16" s="544">
        <v>3086.0</v>
      </c>
      <c r="Z16" s="30">
        <v>24.54</v>
      </c>
      <c r="AA16" s="547">
        <f t="shared" si="12"/>
        <v>0.9933499584</v>
      </c>
      <c r="AB16" s="544">
        <v>2390.0</v>
      </c>
      <c r="AC16" s="547">
        <f t="shared" si="13"/>
        <v>1</v>
      </c>
      <c r="AD16" s="544">
        <v>2406.0</v>
      </c>
      <c r="AE16" s="545">
        <f t="shared" si="14"/>
        <v>0.5818786367</v>
      </c>
      <c r="AF16" s="544">
        <v>1400.0</v>
      </c>
      <c r="AG16" s="545">
        <f t="shared" si="15"/>
        <v>0.5494596841</v>
      </c>
      <c r="AH16" s="544">
        <v>1322.0</v>
      </c>
      <c r="AI16" s="547">
        <f t="shared" si="16"/>
        <v>1</v>
      </c>
      <c r="AJ16" s="544">
        <v>2406.0</v>
      </c>
      <c r="AK16" s="545">
        <f t="shared" si="17"/>
        <v>0.7443890274</v>
      </c>
      <c r="AL16" s="544">
        <v>1791.0</v>
      </c>
      <c r="AM16" s="545">
        <f t="shared" si="18"/>
        <v>0.646716542</v>
      </c>
      <c r="AN16" s="544">
        <v>1556.0</v>
      </c>
      <c r="AO16" s="545">
        <f t="shared" si="19"/>
        <v>0.9534497091</v>
      </c>
      <c r="AP16" s="544">
        <v>2294.0</v>
      </c>
      <c r="AQ16" s="545">
        <f t="shared" si="20"/>
        <v>0.4970906068</v>
      </c>
      <c r="AR16" s="544">
        <v>1196.0</v>
      </c>
      <c r="AS16" s="545">
        <f t="shared" si="21"/>
        <v>0.4397339983</v>
      </c>
      <c r="AT16" s="544">
        <v>1058.0</v>
      </c>
      <c r="AU16" s="545">
        <f t="shared" si="22"/>
        <v>0.6072319202</v>
      </c>
      <c r="AV16" s="544">
        <v>1461.0</v>
      </c>
      <c r="AW16" s="7"/>
      <c r="AX16" s="7"/>
      <c r="AY16" s="7"/>
      <c r="AZ16" s="7"/>
      <c r="BA16" s="7"/>
      <c r="BB16" s="7"/>
      <c r="BC16" s="7"/>
    </row>
    <row r="17">
      <c r="A17" s="548"/>
      <c r="B17" s="549" t="s">
        <v>867</v>
      </c>
      <c r="C17" s="556">
        <v>56512.0</v>
      </c>
      <c r="D17" s="550">
        <f t="shared" si="1"/>
        <v>0.8877406569</v>
      </c>
      <c r="E17" s="557">
        <v>50168.0</v>
      </c>
      <c r="F17" s="557">
        <v>6344.0</v>
      </c>
      <c r="G17" s="550">
        <f t="shared" si="3"/>
        <v>0.8596050396</v>
      </c>
      <c r="H17" s="549">
        <v>48578.0</v>
      </c>
      <c r="I17" s="550">
        <f t="shared" si="4"/>
        <v>0.1249823046</v>
      </c>
      <c r="J17" s="549">
        <v>7063.0</v>
      </c>
      <c r="K17" s="550">
        <f t="shared" si="5"/>
        <v>0.09697055493</v>
      </c>
      <c r="L17" s="549">
        <v>5480.0</v>
      </c>
      <c r="M17" s="549">
        <v>260782.0</v>
      </c>
      <c r="N17" s="549">
        <v>196639.0</v>
      </c>
      <c r="O17" s="548">
        <f t="shared" si="6"/>
        <v>64143</v>
      </c>
      <c r="P17" s="550">
        <f t="shared" si="7"/>
        <v>0.4789786105</v>
      </c>
      <c r="Q17" s="447">
        <v>124909.0</v>
      </c>
      <c r="R17" s="551">
        <f t="shared" si="8"/>
        <v>0.08221426325</v>
      </c>
      <c r="S17" s="447">
        <v>21440.0</v>
      </c>
      <c r="T17" s="550">
        <f t="shared" si="9"/>
        <v>0.8820087276</v>
      </c>
      <c r="U17" s="552">
        <f t="shared" si="10"/>
        <v>230012</v>
      </c>
      <c r="V17" s="553">
        <v>69021.0</v>
      </c>
      <c r="W17" s="553">
        <v>160991.0</v>
      </c>
      <c r="X17" s="550">
        <f t="shared" si="11"/>
        <v>0.09318511247</v>
      </c>
      <c r="Y17" s="553">
        <v>24301.0</v>
      </c>
      <c r="Z17" s="552">
        <v>23.0</v>
      </c>
      <c r="AA17" s="554">
        <f t="shared" si="12"/>
        <v>0.9558677803</v>
      </c>
      <c r="AB17" s="549">
        <v>54018.0</v>
      </c>
      <c r="AC17" s="554">
        <f t="shared" si="13"/>
        <v>0.983136325</v>
      </c>
      <c r="AD17" s="549">
        <v>55559.0</v>
      </c>
      <c r="AE17" s="550">
        <f t="shared" si="14"/>
        <v>0.9196276897</v>
      </c>
      <c r="AF17" s="549">
        <v>51970.0</v>
      </c>
      <c r="AG17" s="550">
        <f t="shared" si="15"/>
        <v>0.9612825595</v>
      </c>
      <c r="AH17" s="549">
        <v>54324.0</v>
      </c>
      <c r="AI17" s="554">
        <f t="shared" si="16"/>
        <v>0.9140005663</v>
      </c>
      <c r="AJ17" s="549">
        <v>51652.0</v>
      </c>
      <c r="AK17" s="550">
        <f t="shared" si="17"/>
        <v>0.5972005946</v>
      </c>
      <c r="AL17" s="549">
        <v>33749.0</v>
      </c>
      <c r="AM17" s="550">
        <f t="shared" si="18"/>
        <v>0.6089149207</v>
      </c>
      <c r="AN17" s="549">
        <v>34411.0</v>
      </c>
      <c r="AO17" s="550">
        <f t="shared" si="19"/>
        <v>0.9585751699</v>
      </c>
      <c r="AP17" s="549">
        <v>54171.0</v>
      </c>
      <c r="AQ17" s="550">
        <f t="shared" si="20"/>
        <v>0.330407701</v>
      </c>
      <c r="AR17" s="549">
        <v>18672.0</v>
      </c>
      <c r="AS17" s="550">
        <f t="shared" si="21"/>
        <v>0.3098810872</v>
      </c>
      <c r="AT17" s="549">
        <v>17512.0</v>
      </c>
      <c r="AU17" s="550">
        <f t="shared" si="22"/>
        <v>0.8207637316</v>
      </c>
      <c r="AV17" s="549">
        <v>46383.0</v>
      </c>
      <c r="AW17" s="555"/>
      <c r="AX17" s="555"/>
      <c r="AY17" s="555"/>
      <c r="AZ17" s="555"/>
      <c r="BA17" s="555"/>
      <c r="BB17" s="555"/>
      <c r="BC17" s="555"/>
    </row>
    <row r="18">
      <c r="A18" s="544" t="s">
        <v>167</v>
      </c>
      <c r="B18" s="558" t="s">
        <v>874</v>
      </c>
      <c r="C18" s="544">
        <v>2532.0</v>
      </c>
      <c r="D18" s="545">
        <f t="shared" si="1"/>
        <v>0.6962875197</v>
      </c>
      <c r="E18" s="544">
        <v>1763.0</v>
      </c>
      <c r="F18" s="546">
        <f t="shared" ref="F18:F21" si="25">C18-E18</f>
        <v>769</v>
      </c>
      <c r="G18" s="545">
        <f t="shared" si="3"/>
        <v>0.6382306477</v>
      </c>
      <c r="H18" s="544">
        <v>1616.0</v>
      </c>
      <c r="I18" s="545">
        <f t="shared" si="4"/>
        <v>0.3001579779</v>
      </c>
      <c r="J18" s="544">
        <v>760.0</v>
      </c>
      <c r="K18" s="545">
        <f t="shared" si="5"/>
        <v>0.1145339652</v>
      </c>
      <c r="L18" s="544">
        <v>290.0</v>
      </c>
      <c r="M18" s="544">
        <v>13333.0</v>
      </c>
      <c r="N18" s="544">
        <v>8311.0</v>
      </c>
      <c r="O18" s="546">
        <f t="shared" si="6"/>
        <v>5022</v>
      </c>
      <c r="P18" s="545">
        <f t="shared" si="7"/>
        <v>0.4860121503</v>
      </c>
      <c r="Q18" s="544">
        <v>6480.0</v>
      </c>
      <c r="R18" s="347">
        <f t="shared" si="8"/>
        <v>0.02722568064</v>
      </c>
      <c r="S18" s="544">
        <v>363.0</v>
      </c>
      <c r="T18" s="545">
        <f t="shared" si="9"/>
        <v>0.726318158</v>
      </c>
      <c r="U18" s="544">
        <f t="shared" si="10"/>
        <v>9684</v>
      </c>
      <c r="V18" s="544">
        <v>6115.0</v>
      </c>
      <c r="W18" s="544">
        <v>3569.0</v>
      </c>
      <c r="X18" s="545">
        <f t="shared" si="11"/>
        <v>0.01035025876</v>
      </c>
      <c r="Y18" s="544">
        <v>138.0</v>
      </c>
      <c r="Z18" s="30">
        <v>35.48</v>
      </c>
      <c r="AA18" s="547">
        <f t="shared" si="12"/>
        <v>0.7808056872</v>
      </c>
      <c r="AB18" s="544">
        <v>1977.0</v>
      </c>
      <c r="AC18" s="547">
        <f t="shared" si="13"/>
        <v>0.9755134281</v>
      </c>
      <c r="AD18" s="544">
        <v>2470.0</v>
      </c>
      <c r="AE18" s="545">
        <f t="shared" si="14"/>
        <v>0.5920221169</v>
      </c>
      <c r="AF18" s="544">
        <v>1499.0</v>
      </c>
      <c r="AG18" s="545">
        <f t="shared" si="15"/>
        <v>0.5841232227</v>
      </c>
      <c r="AH18" s="544">
        <v>1479.0</v>
      </c>
      <c r="AI18" s="547">
        <f t="shared" si="16"/>
        <v>0.9751184834</v>
      </c>
      <c r="AJ18" s="544">
        <v>2469.0</v>
      </c>
      <c r="AK18" s="545">
        <f t="shared" si="17"/>
        <v>0.7061611374</v>
      </c>
      <c r="AL18" s="544">
        <v>1788.0</v>
      </c>
      <c r="AM18" s="545">
        <f t="shared" si="18"/>
        <v>0.4407582938</v>
      </c>
      <c r="AN18" s="544">
        <v>1116.0</v>
      </c>
      <c r="AO18" s="545">
        <f t="shared" si="19"/>
        <v>0.8854660348</v>
      </c>
      <c r="AP18" s="544">
        <v>2242.0</v>
      </c>
      <c r="AQ18" s="545">
        <f t="shared" si="20"/>
        <v>0.1437598736</v>
      </c>
      <c r="AR18" s="544">
        <v>364.0</v>
      </c>
      <c r="AS18" s="545">
        <f t="shared" si="21"/>
        <v>0.2211690363</v>
      </c>
      <c r="AT18" s="544">
        <v>560.0</v>
      </c>
      <c r="AU18" s="545">
        <f t="shared" si="22"/>
        <v>0.4968404423</v>
      </c>
      <c r="AV18" s="544">
        <v>1258.0</v>
      </c>
      <c r="AW18" s="7"/>
      <c r="AX18" s="7"/>
      <c r="AY18" s="7"/>
      <c r="AZ18" s="7"/>
      <c r="BA18" s="7"/>
      <c r="BB18" s="7"/>
      <c r="BC18" s="7"/>
    </row>
    <row r="19">
      <c r="A19" s="546"/>
      <c r="B19" s="558" t="s">
        <v>875</v>
      </c>
      <c r="C19" s="544">
        <v>1607.0</v>
      </c>
      <c r="D19" s="545">
        <f t="shared" si="1"/>
        <v>0.7199751089</v>
      </c>
      <c r="E19" s="544">
        <v>1157.0</v>
      </c>
      <c r="F19" s="546">
        <f t="shared" si="25"/>
        <v>450</v>
      </c>
      <c r="G19" s="545">
        <f t="shared" si="3"/>
        <v>0.6664592408</v>
      </c>
      <c r="H19" s="544">
        <v>1071.0</v>
      </c>
      <c r="I19" s="545">
        <f t="shared" si="4"/>
        <v>0.2794026136</v>
      </c>
      <c r="J19" s="544">
        <v>449.0</v>
      </c>
      <c r="K19" s="545">
        <f t="shared" si="5"/>
        <v>0.1070317362</v>
      </c>
      <c r="L19" s="544">
        <v>172.0</v>
      </c>
      <c r="M19" s="544">
        <v>7384.0</v>
      </c>
      <c r="N19" s="544">
        <v>4828.0</v>
      </c>
      <c r="O19" s="546">
        <f t="shared" si="6"/>
        <v>2556</v>
      </c>
      <c r="P19" s="545">
        <f t="shared" si="7"/>
        <v>0.4278169014</v>
      </c>
      <c r="Q19" s="544">
        <v>3159.0</v>
      </c>
      <c r="R19" s="347">
        <f t="shared" si="8"/>
        <v>0.01151137595</v>
      </c>
      <c r="S19" s="544">
        <v>85.0</v>
      </c>
      <c r="T19" s="545">
        <f t="shared" si="9"/>
        <v>0.6764626219</v>
      </c>
      <c r="U19" s="544">
        <f t="shared" si="10"/>
        <v>4995</v>
      </c>
      <c r="V19" s="544">
        <v>3210.0</v>
      </c>
      <c r="W19" s="544">
        <v>1785.0</v>
      </c>
      <c r="X19" s="545">
        <f t="shared" si="11"/>
        <v>0.007042253521</v>
      </c>
      <c r="Y19" s="544">
        <v>52.0</v>
      </c>
      <c r="Z19" s="30">
        <v>41.51</v>
      </c>
      <c r="AA19" s="547">
        <f t="shared" si="12"/>
        <v>0.7940261357</v>
      </c>
      <c r="AB19" s="544">
        <v>1276.0</v>
      </c>
      <c r="AC19" s="547">
        <f t="shared" si="13"/>
        <v>0.9719975109</v>
      </c>
      <c r="AD19" s="544">
        <v>1562.0</v>
      </c>
      <c r="AE19" s="545">
        <f t="shared" si="14"/>
        <v>0.6322339764</v>
      </c>
      <c r="AF19" s="544">
        <v>1016.0</v>
      </c>
      <c r="AG19" s="545">
        <f t="shared" si="15"/>
        <v>0.6583696329</v>
      </c>
      <c r="AH19" s="544">
        <v>1058.0</v>
      </c>
      <c r="AI19" s="547">
        <f t="shared" si="16"/>
        <v>0.9458618544</v>
      </c>
      <c r="AJ19" s="544">
        <v>1520.0</v>
      </c>
      <c r="AK19" s="545">
        <f t="shared" si="17"/>
        <v>0.6851275669</v>
      </c>
      <c r="AL19" s="544">
        <v>1101.0</v>
      </c>
      <c r="AM19" s="545">
        <f t="shared" si="18"/>
        <v>0.5320472931</v>
      </c>
      <c r="AN19" s="544">
        <v>855.0</v>
      </c>
      <c r="AO19" s="545">
        <f t="shared" si="19"/>
        <v>0.7678904792</v>
      </c>
      <c r="AP19" s="544">
        <v>1234.0</v>
      </c>
      <c r="AQ19" s="545">
        <f t="shared" si="20"/>
        <v>0.1412570006</v>
      </c>
      <c r="AR19" s="544">
        <v>227.0</v>
      </c>
      <c r="AS19" s="545">
        <f t="shared" si="21"/>
        <v>0.2016179216</v>
      </c>
      <c r="AT19" s="544">
        <v>324.0</v>
      </c>
      <c r="AU19" s="545">
        <f t="shared" si="22"/>
        <v>0.5071561917</v>
      </c>
      <c r="AV19" s="544">
        <v>815.0</v>
      </c>
      <c r="AW19" s="7"/>
      <c r="AX19" s="7"/>
      <c r="AY19" s="7"/>
      <c r="AZ19" s="7"/>
      <c r="BA19" s="7"/>
      <c r="BB19" s="7"/>
      <c r="BC19" s="7"/>
    </row>
    <row r="20">
      <c r="A20" s="546"/>
      <c r="B20" s="558" t="s">
        <v>876</v>
      </c>
      <c r="C20" s="544">
        <v>2505.0</v>
      </c>
      <c r="D20" s="545">
        <f t="shared" si="1"/>
        <v>0.2558882236</v>
      </c>
      <c r="E20" s="544">
        <v>641.0</v>
      </c>
      <c r="F20" s="546">
        <f t="shared" si="25"/>
        <v>1864</v>
      </c>
      <c r="G20" s="545">
        <f t="shared" si="3"/>
        <v>0.230738523</v>
      </c>
      <c r="H20" s="544">
        <v>578.0</v>
      </c>
      <c r="I20" s="545">
        <f t="shared" si="4"/>
        <v>0.6586826347</v>
      </c>
      <c r="J20" s="544">
        <v>1650.0</v>
      </c>
      <c r="K20" s="545">
        <f t="shared" si="5"/>
        <v>0.04910179641</v>
      </c>
      <c r="L20" s="544">
        <v>123.0</v>
      </c>
      <c r="M20" s="544">
        <v>26971.0</v>
      </c>
      <c r="N20" s="544">
        <v>5539.0</v>
      </c>
      <c r="O20" s="546">
        <f t="shared" si="6"/>
        <v>21432</v>
      </c>
      <c r="P20" s="545">
        <f t="shared" si="7"/>
        <v>0.8051981758</v>
      </c>
      <c r="Q20" s="544">
        <v>21717.0</v>
      </c>
      <c r="R20" s="347">
        <f t="shared" si="8"/>
        <v>0.02628749398</v>
      </c>
      <c r="S20" s="544">
        <v>709.0</v>
      </c>
      <c r="T20" s="545">
        <f t="shared" si="9"/>
        <v>0.8325979756</v>
      </c>
      <c r="U20" s="544">
        <f t="shared" si="10"/>
        <v>22456</v>
      </c>
      <c r="V20" s="544">
        <v>11750.0</v>
      </c>
      <c r="W20" s="544">
        <v>10706.0</v>
      </c>
      <c r="X20" s="545">
        <f t="shared" si="11"/>
        <v>0.04274961996</v>
      </c>
      <c r="Y20" s="544">
        <v>1153.0</v>
      </c>
      <c r="Z20" s="30">
        <v>31.13</v>
      </c>
      <c r="AA20" s="547">
        <f t="shared" si="12"/>
        <v>0.8618762475</v>
      </c>
      <c r="AB20" s="544">
        <v>2159.0</v>
      </c>
      <c r="AC20" s="547">
        <f t="shared" si="13"/>
        <v>0.998003992</v>
      </c>
      <c r="AD20" s="544">
        <v>2500.0</v>
      </c>
      <c r="AE20" s="545">
        <f t="shared" si="14"/>
        <v>0.2163672655</v>
      </c>
      <c r="AF20" s="544">
        <v>542.0</v>
      </c>
      <c r="AG20" s="545">
        <f t="shared" si="15"/>
        <v>0.2147704591</v>
      </c>
      <c r="AH20" s="544">
        <v>538.0</v>
      </c>
      <c r="AI20" s="547">
        <f t="shared" si="16"/>
        <v>0.9948103792</v>
      </c>
      <c r="AJ20" s="544">
        <v>2492.0</v>
      </c>
      <c r="AK20" s="545">
        <f t="shared" si="17"/>
        <v>0.9333333333</v>
      </c>
      <c r="AL20" s="544">
        <v>2338.0</v>
      </c>
      <c r="AM20" s="545">
        <f t="shared" si="18"/>
        <v>0.2582834331</v>
      </c>
      <c r="AN20" s="544">
        <v>647.0</v>
      </c>
      <c r="AO20" s="545">
        <f t="shared" si="19"/>
        <v>0.9528942116</v>
      </c>
      <c r="AP20" s="544">
        <v>2387.0</v>
      </c>
      <c r="AQ20" s="545">
        <f t="shared" si="20"/>
        <v>0.2291417166</v>
      </c>
      <c r="AR20" s="544">
        <v>574.0</v>
      </c>
      <c r="AS20" s="545">
        <f t="shared" si="21"/>
        <v>0.6886227545</v>
      </c>
      <c r="AT20" s="544">
        <v>1725.0</v>
      </c>
      <c r="AU20" s="545">
        <f t="shared" si="22"/>
        <v>0.272255489</v>
      </c>
      <c r="AV20" s="544">
        <v>682.0</v>
      </c>
      <c r="AW20" s="7"/>
      <c r="AX20" s="7"/>
      <c r="AY20" s="7"/>
      <c r="AZ20" s="7"/>
      <c r="BA20" s="7"/>
      <c r="BB20" s="7"/>
      <c r="BC20" s="7"/>
    </row>
    <row r="21">
      <c r="A21" s="546"/>
      <c r="B21" s="558" t="s">
        <v>877</v>
      </c>
      <c r="C21" s="544">
        <v>3629.0</v>
      </c>
      <c r="D21" s="545">
        <f t="shared" si="1"/>
        <v>0.224304216</v>
      </c>
      <c r="E21" s="544">
        <v>814.0</v>
      </c>
      <c r="F21" s="546">
        <f t="shared" si="25"/>
        <v>2815</v>
      </c>
      <c r="G21" s="545">
        <f t="shared" si="3"/>
        <v>0.2747313309</v>
      </c>
      <c r="H21" s="544">
        <v>997.0</v>
      </c>
      <c r="I21" s="545">
        <f t="shared" si="4"/>
        <v>0.6376412235</v>
      </c>
      <c r="J21" s="544">
        <v>2314.0</v>
      </c>
      <c r="K21" s="545">
        <f t="shared" si="5"/>
        <v>0.055662717</v>
      </c>
      <c r="L21" s="544">
        <v>202.0</v>
      </c>
      <c r="M21" s="544">
        <v>45304.0</v>
      </c>
      <c r="N21" s="544">
        <v>6304.0</v>
      </c>
      <c r="O21" s="546">
        <f t="shared" si="6"/>
        <v>39000</v>
      </c>
      <c r="P21" s="545">
        <f t="shared" si="7"/>
        <v>0.8263067279</v>
      </c>
      <c r="Q21" s="544">
        <v>37435.0</v>
      </c>
      <c r="R21" s="347">
        <f t="shared" si="8"/>
        <v>0.02439078227</v>
      </c>
      <c r="S21" s="544">
        <v>1105.0</v>
      </c>
      <c r="T21" s="545">
        <f t="shared" si="9"/>
        <v>0.8391532756</v>
      </c>
      <c r="U21" s="544">
        <f t="shared" si="10"/>
        <v>38017</v>
      </c>
      <c r="V21" s="544">
        <v>19262.0</v>
      </c>
      <c r="W21" s="544">
        <v>18755.0</v>
      </c>
      <c r="X21" s="545">
        <f t="shared" si="11"/>
        <v>0.04220377892</v>
      </c>
      <c r="Y21" s="544">
        <v>1912.0</v>
      </c>
      <c r="Z21" s="30">
        <v>28.91</v>
      </c>
      <c r="AA21" s="547">
        <f t="shared" si="12"/>
        <v>0.8820611739</v>
      </c>
      <c r="AB21" s="544">
        <v>3201.0</v>
      </c>
      <c r="AC21" s="547">
        <f t="shared" si="13"/>
        <v>0.998346652</v>
      </c>
      <c r="AD21" s="544">
        <v>3623.0</v>
      </c>
      <c r="AE21" s="545">
        <f t="shared" si="14"/>
        <v>0.2099751998</v>
      </c>
      <c r="AF21" s="544">
        <v>762.0</v>
      </c>
      <c r="AG21" s="545">
        <f t="shared" si="15"/>
        <v>0.1953706255</v>
      </c>
      <c r="AH21" s="544">
        <v>709.0</v>
      </c>
      <c r="AI21" s="547">
        <f t="shared" si="16"/>
        <v>0.999448884</v>
      </c>
      <c r="AJ21" s="544">
        <v>3627.0</v>
      </c>
      <c r="AK21" s="545">
        <f t="shared" si="17"/>
        <v>0.9236704326</v>
      </c>
      <c r="AL21" s="544">
        <v>3352.0</v>
      </c>
      <c r="AM21" s="545">
        <f t="shared" si="18"/>
        <v>0.3199228438</v>
      </c>
      <c r="AN21" s="544">
        <v>1161.0</v>
      </c>
      <c r="AO21" s="545">
        <f t="shared" si="19"/>
        <v>0.9537062552</v>
      </c>
      <c r="AP21" s="544">
        <v>3461.0</v>
      </c>
      <c r="AQ21" s="545">
        <f t="shared" si="20"/>
        <v>0.2717001929</v>
      </c>
      <c r="AR21" s="544">
        <v>986.0</v>
      </c>
      <c r="AS21" s="545">
        <f t="shared" si="21"/>
        <v>0.7021217966</v>
      </c>
      <c r="AT21" s="544">
        <v>2548.0</v>
      </c>
      <c r="AU21" s="545">
        <f t="shared" si="22"/>
        <v>0.2981537614</v>
      </c>
      <c r="AV21" s="544">
        <v>1082.0</v>
      </c>
      <c r="AW21" s="7"/>
      <c r="AX21" s="7"/>
      <c r="AY21" s="7"/>
      <c r="AZ21" s="7"/>
      <c r="BA21" s="7"/>
      <c r="BB21" s="7"/>
      <c r="BC21" s="7"/>
    </row>
    <row r="22">
      <c r="A22" s="548"/>
      <c r="B22" s="559" t="s">
        <v>867</v>
      </c>
      <c r="C22" s="556">
        <v>76450.0</v>
      </c>
      <c r="D22" s="550">
        <f t="shared" si="1"/>
        <v>0.718351864</v>
      </c>
      <c r="E22" s="557">
        <v>54918.0</v>
      </c>
      <c r="F22" s="557">
        <v>21532.0</v>
      </c>
      <c r="G22" s="550">
        <f t="shared" si="3"/>
        <v>0.6326618705</v>
      </c>
      <c r="H22" s="549">
        <v>48367.0</v>
      </c>
      <c r="I22" s="550">
        <f t="shared" si="4"/>
        <v>0.257030739</v>
      </c>
      <c r="J22" s="549">
        <v>19650.0</v>
      </c>
      <c r="K22" s="550">
        <f t="shared" si="5"/>
        <v>0.1026553303</v>
      </c>
      <c r="L22" s="549">
        <v>7848.0</v>
      </c>
      <c r="M22" s="549">
        <v>431386.0</v>
      </c>
      <c r="N22" s="549">
        <v>246055.0</v>
      </c>
      <c r="O22" s="548">
        <f t="shared" si="6"/>
        <v>185331</v>
      </c>
      <c r="P22" s="550">
        <f t="shared" si="7"/>
        <v>0.5823183877</v>
      </c>
      <c r="Q22" s="447">
        <v>251204.0</v>
      </c>
      <c r="R22" s="551">
        <f t="shared" si="8"/>
        <v>0.02717519808</v>
      </c>
      <c r="S22" s="447">
        <v>11723.0</v>
      </c>
      <c r="T22" s="550">
        <f t="shared" si="9"/>
        <v>0.7304131335</v>
      </c>
      <c r="U22" s="552">
        <f t="shared" si="10"/>
        <v>315090</v>
      </c>
      <c r="V22" s="553">
        <v>173129.0</v>
      </c>
      <c r="W22" s="553">
        <v>141961.0</v>
      </c>
      <c r="X22" s="550">
        <f t="shared" si="11"/>
        <v>0.02132428962</v>
      </c>
      <c r="Y22" s="553">
        <v>9199.0</v>
      </c>
      <c r="Z22" s="552">
        <v>27.0</v>
      </c>
      <c r="AA22" s="554">
        <f t="shared" si="12"/>
        <v>0.8347547417</v>
      </c>
      <c r="AB22" s="549">
        <v>63817.0</v>
      </c>
      <c r="AC22" s="554">
        <f t="shared" si="13"/>
        <v>0.9803793329</v>
      </c>
      <c r="AD22" s="549">
        <v>74950.0</v>
      </c>
      <c r="AE22" s="550">
        <f t="shared" si="14"/>
        <v>0.9339829954</v>
      </c>
      <c r="AF22" s="549">
        <v>71403.0</v>
      </c>
      <c r="AG22" s="550">
        <f t="shared" si="15"/>
        <v>0.9725179856</v>
      </c>
      <c r="AH22" s="549">
        <v>74349.0</v>
      </c>
      <c r="AI22" s="554">
        <f t="shared" si="16"/>
        <v>0.9858731197</v>
      </c>
      <c r="AJ22" s="549">
        <v>75370.0</v>
      </c>
      <c r="AK22" s="550">
        <f t="shared" si="17"/>
        <v>0.6954610857</v>
      </c>
      <c r="AL22" s="549">
        <v>53168.0</v>
      </c>
      <c r="AM22" s="550">
        <f t="shared" si="18"/>
        <v>0.5851536952</v>
      </c>
      <c r="AN22" s="549">
        <v>44735.0</v>
      </c>
      <c r="AO22" s="550">
        <f t="shared" si="19"/>
        <v>0.9465663833</v>
      </c>
      <c r="AP22" s="549">
        <v>72365.0</v>
      </c>
      <c r="AQ22" s="550">
        <f t="shared" si="20"/>
        <v>0.3330019621</v>
      </c>
      <c r="AR22" s="549">
        <v>25458.0</v>
      </c>
      <c r="AS22" s="550">
        <f t="shared" si="21"/>
        <v>0.2954872466</v>
      </c>
      <c r="AT22" s="549">
        <v>22590.0</v>
      </c>
      <c r="AU22" s="550">
        <f t="shared" si="22"/>
        <v>0.5890385873</v>
      </c>
      <c r="AV22" s="549">
        <v>45032.0</v>
      </c>
      <c r="AW22" s="555"/>
      <c r="AX22" s="555"/>
      <c r="AY22" s="555"/>
      <c r="AZ22" s="555"/>
      <c r="BA22" s="555"/>
      <c r="BB22" s="555"/>
      <c r="BC22" s="555"/>
    </row>
    <row r="23">
      <c r="A23" s="544" t="s">
        <v>172</v>
      </c>
      <c r="B23" s="544" t="s">
        <v>878</v>
      </c>
      <c r="C23" s="544">
        <v>2082.0</v>
      </c>
      <c r="D23" s="545">
        <f t="shared" si="1"/>
        <v>0.9024975985</v>
      </c>
      <c r="E23" s="544">
        <v>1879.0</v>
      </c>
      <c r="F23" s="546">
        <f t="shared" ref="F23:F25" si="26">C23-E23</f>
        <v>203</v>
      </c>
      <c r="G23" s="545">
        <f t="shared" si="3"/>
        <v>0.6868395773</v>
      </c>
      <c r="H23" s="544">
        <v>1430.0</v>
      </c>
      <c r="I23" s="545">
        <f t="shared" si="4"/>
        <v>0.07540826129</v>
      </c>
      <c r="J23" s="544">
        <v>157.0</v>
      </c>
      <c r="K23" s="545">
        <f t="shared" si="5"/>
        <v>0.04082612872</v>
      </c>
      <c r="L23" s="544">
        <v>85.0</v>
      </c>
      <c r="M23" s="544">
        <v>11399.0</v>
      </c>
      <c r="N23" s="544">
        <v>9182.0</v>
      </c>
      <c r="O23" s="546">
        <f t="shared" si="6"/>
        <v>2217</v>
      </c>
      <c r="P23" s="545">
        <f t="shared" si="7"/>
        <v>0.2863409071</v>
      </c>
      <c r="Q23" s="544">
        <v>3264.0</v>
      </c>
      <c r="R23" s="347">
        <f t="shared" si="8"/>
        <v>0.06509342925</v>
      </c>
      <c r="S23" s="544">
        <v>742.0</v>
      </c>
      <c r="T23" s="545">
        <f t="shared" si="9"/>
        <v>0.7489253443</v>
      </c>
      <c r="U23" s="544">
        <f t="shared" si="10"/>
        <v>8537</v>
      </c>
      <c r="V23" s="544">
        <v>5401.0</v>
      </c>
      <c r="W23" s="544">
        <v>3136.0</v>
      </c>
      <c r="X23" s="545">
        <f t="shared" si="11"/>
        <v>0.007281340468</v>
      </c>
      <c r="Y23" s="544">
        <v>83.0</v>
      </c>
      <c r="Z23" s="30">
        <v>26.06</v>
      </c>
      <c r="AA23" s="547">
        <f t="shared" si="12"/>
        <v>0.9193083573</v>
      </c>
      <c r="AB23" s="544">
        <v>1914.0</v>
      </c>
      <c r="AC23" s="547">
        <f t="shared" si="13"/>
        <v>1</v>
      </c>
      <c r="AD23" s="544">
        <v>2082.0</v>
      </c>
      <c r="AE23" s="545">
        <f t="shared" si="14"/>
        <v>0.5456292027</v>
      </c>
      <c r="AF23" s="544">
        <v>1136.0</v>
      </c>
      <c r="AG23" s="545">
        <f t="shared" si="15"/>
        <v>0.585975024</v>
      </c>
      <c r="AH23" s="544">
        <v>1220.0</v>
      </c>
      <c r="AI23" s="547">
        <f t="shared" si="16"/>
        <v>0.6109510086</v>
      </c>
      <c r="AJ23" s="544">
        <v>1272.0</v>
      </c>
      <c r="AK23" s="545">
        <f t="shared" si="17"/>
        <v>0.7243035543</v>
      </c>
      <c r="AL23" s="544">
        <v>1508.0</v>
      </c>
      <c r="AM23" s="545">
        <f t="shared" si="18"/>
        <v>0.6983669549</v>
      </c>
      <c r="AN23" s="544">
        <v>1454.0</v>
      </c>
      <c r="AO23" s="545">
        <f t="shared" si="19"/>
        <v>0.8357348703</v>
      </c>
      <c r="AP23" s="544">
        <v>1740.0</v>
      </c>
      <c r="AQ23" s="545">
        <f t="shared" si="20"/>
        <v>0.2728146013</v>
      </c>
      <c r="AR23" s="544">
        <v>568.0</v>
      </c>
      <c r="AS23" s="545">
        <f t="shared" si="21"/>
        <v>0.2901056676</v>
      </c>
      <c r="AT23" s="544">
        <v>604.0</v>
      </c>
      <c r="AU23" s="545">
        <f t="shared" si="22"/>
        <v>0.8467819404</v>
      </c>
      <c r="AV23" s="544">
        <v>1763.0</v>
      </c>
      <c r="AW23" s="7"/>
      <c r="AX23" s="7"/>
      <c r="AY23" s="7"/>
      <c r="AZ23" s="7"/>
      <c r="BA23" s="7"/>
      <c r="BB23" s="7"/>
      <c r="BC23" s="7"/>
    </row>
    <row r="24">
      <c r="A24" s="546"/>
      <c r="B24" s="544" t="s">
        <v>879</v>
      </c>
      <c r="C24" s="544">
        <v>2031.0</v>
      </c>
      <c r="D24" s="545">
        <f t="shared" si="1"/>
        <v>0.8798621369</v>
      </c>
      <c r="E24" s="544">
        <v>1787.0</v>
      </c>
      <c r="F24" s="546">
        <f t="shared" si="26"/>
        <v>244</v>
      </c>
      <c r="G24" s="545">
        <f t="shared" si="3"/>
        <v>0.753323486</v>
      </c>
      <c r="H24" s="544">
        <v>1530.0</v>
      </c>
      <c r="I24" s="545">
        <f t="shared" si="4"/>
        <v>0.06794682422</v>
      </c>
      <c r="J24" s="544">
        <v>138.0</v>
      </c>
      <c r="K24" s="545">
        <f t="shared" si="5"/>
        <v>0.1329394387</v>
      </c>
      <c r="L24" s="544">
        <v>270.0</v>
      </c>
      <c r="M24" s="544">
        <v>8494.0</v>
      </c>
      <c r="N24" s="544">
        <v>6518.0</v>
      </c>
      <c r="O24" s="546">
        <f t="shared" si="6"/>
        <v>1976</v>
      </c>
      <c r="P24" s="545">
        <f t="shared" si="7"/>
        <v>0.2821991994</v>
      </c>
      <c r="Q24" s="544">
        <v>2397.0</v>
      </c>
      <c r="R24" s="347">
        <f t="shared" si="8"/>
        <v>0.07734871674</v>
      </c>
      <c r="S24" s="544">
        <v>657.0</v>
      </c>
      <c r="T24" s="545">
        <f t="shared" si="9"/>
        <v>0.8294089946</v>
      </c>
      <c r="U24" s="544">
        <f t="shared" si="10"/>
        <v>7045</v>
      </c>
      <c r="V24" s="544">
        <v>4399.0</v>
      </c>
      <c r="W24" s="544">
        <v>2646.0</v>
      </c>
      <c r="X24" s="545">
        <f t="shared" si="11"/>
        <v>0.02319284201</v>
      </c>
      <c r="Y24" s="544">
        <v>197.0</v>
      </c>
      <c r="Z24" s="30">
        <v>18.43</v>
      </c>
      <c r="AA24" s="547">
        <f t="shared" si="12"/>
        <v>0.8961102905</v>
      </c>
      <c r="AB24" s="544">
        <v>1820.0</v>
      </c>
      <c r="AC24" s="547">
        <f t="shared" si="13"/>
        <v>0.9167897587</v>
      </c>
      <c r="AD24" s="544">
        <v>1862.0</v>
      </c>
      <c r="AE24" s="545">
        <f t="shared" si="14"/>
        <v>0.5273264402</v>
      </c>
      <c r="AF24" s="544">
        <v>1071.0</v>
      </c>
      <c r="AG24" s="545">
        <f t="shared" si="15"/>
        <v>0.6661742984</v>
      </c>
      <c r="AH24" s="544">
        <v>1353.0</v>
      </c>
      <c r="AI24" s="547">
        <f t="shared" si="16"/>
        <v>0.6454948301</v>
      </c>
      <c r="AJ24" s="544">
        <v>1311.0</v>
      </c>
      <c r="AK24" s="545">
        <f t="shared" si="17"/>
        <v>0.6090595766</v>
      </c>
      <c r="AL24" s="544">
        <v>1237.0</v>
      </c>
      <c r="AM24" s="545">
        <f t="shared" si="18"/>
        <v>0.6528803545</v>
      </c>
      <c r="AN24" s="544">
        <v>1326.0</v>
      </c>
      <c r="AO24" s="545">
        <f t="shared" si="19"/>
        <v>0.9286065977</v>
      </c>
      <c r="AP24" s="544">
        <v>1886.0</v>
      </c>
      <c r="AQ24" s="545">
        <f t="shared" si="20"/>
        <v>0.2806499261</v>
      </c>
      <c r="AR24" s="544">
        <v>570.0</v>
      </c>
      <c r="AS24" s="545">
        <f t="shared" si="21"/>
        <v>0.2299359921</v>
      </c>
      <c r="AT24" s="544">
        <v>467.0</v>
      </c>
      <c r="AU24" s="545">
        <f t="shared" si="22"/>
        <v>0.8754308223</v>
      </c>
      <c r="AV24" s="544">
        <v>1778.0</v>
      </c>
      <c r="AW24" s="7"/>
      <c r="AX24" s="7"/>
      <c r="AY24" s="7"/>
      <c r="AZ24" s="7"/>
      <c r="BA24" s="7"/>
      <c r="BB24" s="7"/>
      <c r="BC24" s="7"/>
    </row>
    <row r="25">
      <c r="A25" s="546"/>
      <c r="B25" s="544" t="s">
        <v>412</v>
      </c>
      <c r="C25" s="544">
        <v>1771.0</v>
      </c>
      <c r="D25" s="545">
        <f t="shared" si="1"/>
        <v>0</v>
      </c>
      <c r="E25" s="544">
        <v>0.0</v>
      </c>
      <c r="F25" s="546">
        <f t="shared" si="26"/>
        <v>1771</v>
      </c>
      <c r="G25" s="545">
        <f t="shared" si="3"/>
        <v>0.002823263693</v>
      </c>
      <c r="H25" s="544">
        <v>5.0</v>
      </c>
      <c r="I25" s="545">
        <f t="shared" si="4"/>
        <v>0.5042348955</v>
      </c>
      <c r="J25" s="544">
        <v>893.0</v>
      </c>
      <c r="K25" s="545">
        <f t="shared" si="5"/>
        <v>0.01524562394</v>
      </c>
      <c r="L25" s="544">
        <v>27.0</v>
      </c>
      <c r="M25" s="544">
        <v>37652.0</v>
      </c>
      <c r="N25" s="544">
        <v>0.0</v>
      </c>
      <c r="O25" s="546">
        <f t="shared" si="6"/>
        <v>37652</v>
      </c>
      <c r="P25" s="545">
        <f t="shared" si="7"/>
        <v>0.7346223308</v>
      </c>
      <c r="Q25" s="544">
        <v>27660.0</v>
      </c>
      <c r="R25" s="347">
        <f t="shared" si="8"/>
        <v>0.06103261447</v>
      </c>
      <c r="S25" s="544">
        <v>2298.0</v>
      </c>
      <c r="T25" s="545">
        <f t="shared" si="9"/>
        <v>0.9223945607</v>
      </c>
      <c r="U25" s="544">
        <f t="shared" si="10"/>
        <v>34730</v>
      </c>
      <c r="V25" s="544">
        <v>17725.0</v>
      </c>
      <c r="W25" s="544">
        <v>17005.0</v>
      </c>
      <c r="X25" s="545">
        <f t="shared" si="11"/>
        <v>0.01566981834</v>
      </c>
      <c r="Y25" s="544">
        <v>590.0</v>
      </c>
      <c r="Z25" s="30">
        <v>33.38</v>
      </c>
      <c r="AA25" s="547">
        <f t="shared" si="12"/>
        <v>0.9909655562</v>
      </c>
      <c r="AB25" s="544">
        <v>1755.0</v>
      </c>
      <c r="AC25" s="547">
        <f t="shared" si="13"/>
        <v>1</v>
      </c>
      <c r="AD25" s="544">
        <v>1771.0</v>
      </c>
      <c r="AE25" s="545">
        <f t="shared" si="14"/>
        <v>0.09486166008</v>
      </c>
      <c r="AF25" s="544">
        <v>168.0</v>
      </c>
      <c r="AG25" s="545">
        <f t="shared" si="15"/>
        <v>0.09599096556</v>
      </c>
      <c r="AH25" s="544">
        <v>170.0</v>
      </c>
      <c r="AI25" s="547">
        <f t="shared" si="16"/>
        <v>1</v>
      </c>
      <c r="AJ25" s="544">
        <v>1771.0</v>
      </c>
      <c r="AK25" s="545">
        <f t="shared" si="17"/>
        <v>0.9440993789</v>
      </c>
      <c r="AL25" s="544">
        <v>1672.0</v>
      </c>
      <c r="AM25" s="545">
        <f t="shared" si="18"/>
        <v>0.5962732919</v>
      </c>
      <c r="AN25" s="544">
        <v>1056.0</v>
      </c>
      <c r="AO25" s="545">
        <f t="shared" si="19"/>
        <v>0.9915302089</v>
      </c>
      <c r="AP25" s="544">
        <v>1756.0</v>
      </c>
      <c r="AQ25" s="545">
        <f t="shared" si="20"/>
        <v>0.3551665726</v>
      </c>
      <c r="AR25" s="544">
        <v>629.0</v>
      </c>
      <c r="AS25" s="545">
        <f t="shared" si="21"/>
        <v>0.9593450028</v>
      </c>
      <c r="AT25" s="544">
        <v>1699.0</v>
      </c>
      <c r="AU25" s="545">
        <f t="shared" si="22"/>
        <v>0.3687182383</v>
      </c>
      <c r="AV25" s="544">
        <v>653.0</v>
      </c>
      <c r="AW25" s="7"/>
      <c r="AX25" s="7"/>
      <c r="AY25" s="7"/>
      <c r="AZ25" s="7"/>
      <c r="BA25" s="7"/>
      <c r="BB25" s="7"/>
      <c r="BC25" s="7"/>
    </row>
    <row r="26">
      <c r="A26" s="548"/>
      <c r="B26" s="549" t="s">
        <v>867</v>
      </c>
      <c r="C26" s="556">
        <v>109605.0</v>
      </c>
      <c r="D26" s="550">
        <f t="shared" si="1"/>
        <v>0.7472560558</v>
      </c>
      <c r="E26" s="557">
        <v>81903.0</v>
      </c>
      <c r="F26" s="557">
        <v>27702.0</v>
      </c>
      <c r="G26" s="550">
        <f t="shared" si="3"/>
        <v>0.5918799325</v>
      </c>
      <c r="H26" s="549">
        <v>64873.0</v>
      </c>
      <c r="I26" s="550">
        <f t="shared" si="4"/>
        <v>0.1757948999</v>
      </c>
      <c r="J26" s="549">
        <v>19268.0</v>
      </c>
      <c r="K26" s="550">
        <f t="shared" si="5"/>
        <v>0.05388440308</v>
      </c>
      <c r="L26" s="549">
        <v>5906.0</v>
      </c>
      <c r="M26" s="549">
        <v>748589.0</v>
      </c>
      <c r="N26" s="549">
        <v>423150.0</v>
      </c>
      <c r="O26" s="548">
        <f t="shared" si="6"/>
        <v>325439</v>
      </c>
      <c r="P26" s="550">
        <f t="shared" si="7"/>
        <v>0.4841014228</v>
      </c>
      <c r="Q26" s="447">
        <v>362393.0</v>
      </c>
      <c r="R26" s="551">
        <f t="shared" si="8"/>
        <v>0.08334479935</v>
      </c>
      <c r="S26" s="447">
        <v>62391.0</v>
      </c>
      <c r="T26" s="550">
        <f t="shared" si="9"/>
        <v>0.8081310305</v>
      </c>
      <c r="U26" s="552">
        <f t="shared" si="10"/>
        <v>604958</v>
      </c>
      <c r="V26" s="553">
        <v>358492.0</v>
      </c>
      <c r="W26" s="553">
        <v>246466.0</v>
      </c>
      <c r="X26" s="550">
        <f t="shared" si="11"/>
        <v>0.01308194483</v>
      </c>
      <c r="Y26" s="553">
        <v>9793.0</v>
      </c>
      <c r="Z26" s="552">
        <v>24.0</v>
      </c>
      <c r="AA26" s="554">
        <f t="shared" si="12"/>
        <v>0.973486611</v>
      </c>
      <c r="AB26" s="549">
        <v>106699.0</v>
      </c>
      <c r="AC26" s="554">
        <f t="shared" si="13"/>
        <v>0.9799735414</v>
      </c>
      <c r="AD26" s="549">
        <v>107410.0</v>
      </c>
      <c r="AE26" s="550">
        <f t="shared" si="14"/>
        <v>0.909356325</v>
      </c>
      <c r="AF26" s="549">
        <v>99670.0</v>
      </c>
      <c r="AG26" s="550">
        <f t="shared" si="15"/>
        <v>0.9370284202</v>
      </c>
      <c r="AH26" s="549">
        <v>102703.0</v>
      </c>
      <c r="AI26" s="554">
        <f t="shared" si="16"/>
        <v>0.8555357876</v>
      </c>
      <c r="AJ26" s="549">
        <v>93771.0</v>
      </c>
      <c r="AK26" s="550">
        <f t="shared" si="17"/>
        <v>0.728762374</v>
      </c>
      <c r="AL26" s="549">
        <v>79876.0</v>
      </c>
      <c r="AM26" s="550">
        <f t="shared" si="18"/>
        <v>0.7884676794</v>
      </c>
      <c r="AN26" s="549">
        <v>86420.0</v>
      </c>
      <c r="AO26" s="550">
        <f t="shared" si="19"/>
        <v>0.8949682952</v>
      </c>
      <c r="AP26" s="549">
        <v>98093.0</v>
      </c>
      <c r="AQ26" s="550">
        <f t="shared" si="20"/>
        <v>0.6558459924</v>
      </c>
      <c r="AR26" s="549">
        <v>71884.0</v>
      </c>
      <c r="AS26" s="550">
        <f t="shared" si="21"/>
        <v>0.4794763013</v>
      </c>
      <c r="AT26" s="549">
        <v>52553.0</v>
      </c>
      <c r="AU26" s="550">
        <f t="shared" si="22"/>
        <v>0.7648008759</v>
      </c>
      <c r="AV26" s="549">
        <v>83826.0</v>
      </c>
      <c r="AW26" s="555"/>
      <c r="AX26" s="555"/>
      <c r="AY26" s="555"/>
      <c r="AZ26" s="555"/>
      <c r="BA26" s="555"/>
      <c r="BB26" s="555"/>
      <c r="BC26" s="555"/>
    </row>
    <row r="27">
      <c r="A27" s="544" t="s">
        <v>179</v>
      </c>
      <c r="B27" s="544" t="s">
        <v>880</v>
      </c>
      <c r="C27" s="544">
        <v>834.0</v>
      </c>
      <c r="D27" s="545">
        <f t="shared" si="1"/>
        <v>0.8237410072</v>
      </c>
      <c r="E27" s="544">
        <v>687.0</v>
      </c>
      <c r="F27" s="546">
        <f t="shared" ref="F27:F29" si="27">C27-E27</f>
        <v>147</v>
      </c>
      <c r="G27" s="545">
        <f t="shared" si="3"/>
        <v>0.7146282974</v>
      </c>
      <c r="H27" s="544">
        <v>596.0</v>
      </c>
      <c r="I27" s="545">
        <f t="shared" si="4"/>
        <v>0.2697841727</v>
      </c>
      <c r="J27" s="544">
        <v>225.0</v>
      </c>
      <c r="K27" s="545">
        <f t="shared" si="5"/>
        <v>0.06594724221</v>
      </c>
      <c r="L27" s="544">
        <v>55.0</v>
      </c>
      <c r="M27" s="544">
        <v>8575.0</v>
      </c>
      <c r="N27" s="544">
        <v>6026.0</v>
      </c>
      <c r="O27" s="544">
        <v>2549.0</v>
      </c>
      <c r="P27" s="545">
        <f t="shared" si="7"/>
        <v>0.7272303207</v>
      </c>
      <c r="Q27" s="544">
        <v>6236.0</v>
      </c>
      <c r="R27" s="347">
        <f t="shared" si="8"/>
        <v>0.2542274052</v>
      </c>
      <c r="S27" s="544">
        <v>2180.0</v>
      </c>
      <c r="T27" s="545">
        <f t="shared" si="9"/>
        <v>0.915335277</v>
      </c>
      <c r="U27" s="544">
        <f t="shared" si="10"/>
        <v>7849</v>
      </c>
      <c r="V27" s="544">
        <v>2674.0</v>
      </c>
      <c r="W27" s="544">
        <v>5175.0</v>
      </c>
      <c r="X27" s="545">
        <f t="shared" si="11"/>
        <v>0.0472303207</v>
      </c>
      <c r="Y27" s="544">
        <v>405.0</v>
      </c>
      <c r="Z27" s="30">
        <v>28.64</v>
      </c>
      <c r="AA27" s="547">
        <f t="shared" si="12"/>
        <v>1</v>
      </c>
      <c r="AB27" s="544">
        <v>834.0</v>
      </c>
      <c r="AC27" s="547">
        <f t="shared" si="13"/>
        <v>1</v>
      </c>
      <c r="AD27" s="544">
        <v>834.0</v>
      </c>
      <c r="AE27" s="545">
        <f t="shared" si="14"/>
        <v>0.4760191847</v>
      </c>
      <c r="AF27" s="544">
        <v>397.0</v>
      </c>
      <c r="AG27" s="545">
        <f t="shared" si="15"/>
        <v>0.3872901679</v>
      </c>
      <c r="AH27" s="544">
        <v>323.0</v>
      </c>
      <c r="AI27" s="547">
        <f t="shared" si="16"/>
        <v>1</v>
      </c>
      <c r="AJ27" s="544">
        <v>834.0</v>
      </c>
      <c r="AK27" s="545">
        <f t="shared" si="17"/>
        <v>0.7074340528</v>
      </c>
      <c r="AL27" s="544">
        <v>590.0</v>
      </c>
      <c r="AM27" s="545">
        <f t="shared" si="18"/>
        <v>0.8645083933</v>
      </c>
      <c r="AN27" s="544">
        <v>721.0</v>
      </c>
      <c r="AO27" s="545">
        <f t="shared" si="19"/>
        <v>1</v>
      </c>
      <c r="AP27" s="544">
        <v>834.0</v>
      </c>
      <c r="AQ27" s="545">
        <f t="shared" si="20"/>
        <v>0.2505995204</v>
      </c>
      <c r="AR27" s="544">
        <v>209.0</v>
      </c>
      <c r="AS27" s="545">
        <f t="shared" si="21"/>
        <v>0.6007194245</v>
      </c>
      <c r="AT27" s="544">
        <v>501.0</v>
      </c>
      <c r="AU27" s="545">
        <f t="shared" si="22"/>
        <v>0.7002398082</v>
      </c>
      <c r="AV27" s="544">
        <v>584.0</v>
      </c>
      <c r="AW27" s="7"/>
      <c r="AX27" s="7"/>
      <c r="AY27" s="7"/>
      <c r="AZ27" s="7"/>
      <c r="BA27" s="7"/>
      <c r="BB27" s="7"/>
      <c r="BC27" s="7"/>
    </row>
    <row r="28">
      <c r="A28" s="546"/>
      <c r="B28" s="544" t="s">
        <v>881</v>
      </c>
      <c r="C28" s="544">
        <v>1080.0</v>
      </c>
      <c r="D28" s="545">
        <f t="shared" si="1"/>
        <v>0.8231481481</v>
      </c>
      <c r="E28" s="544">
        <v>889.0</v>
      </c>
      <c r="F28" s="546">
        <f t="shared" si="27"/>
        <v>191</v>
      </c>
      <c r="G28" s="545">
        <f t="shared" si="3"/>
        <v>0.7805555556</v>
      </c>
      <c r="H28" s="544">
        <v>843.0</v>
      </c>
      <c r="I28" s="545">
        <f t="shared" si="4"/>
        <v>0.2055555556</v>
      </c>
      <c r="J28" s="544">
        <v>222.0</v>
      </c>
      <c r="K28" s="545">
        <f t="shared" si="5"/>
        <v>0.1287037037</v>
      </c>
      <c r="L28" s="544">
        <v>139.0</v>
      </c>
      <c r="M28" s="544">
        <v>8470.0</v>
      </c>
      <c r="N28" s="544">
        <v>5476.0</v>
      </c>
      <c r="O28" s="546">
        <f t="shared" ref="O28:O30" si="28">M28-N28</f>
        <v>2994</v>
      </c>
      <c r="P28" s="545">
        <f t="shared" si="7"/>
        <v>0.6896103896</v>
      </c>
      <c r="Q28" s="544">
        <v>5841.0</v>
      </c>
      <c r="R28" s="347">
        <f t="shared" si="8"/>
        <v>0.3185360094</v>
      </c>
      <c r="S28" s="544">
        <v>2698.0</v>
      </c>
      <c r="T28" s="545">
        <f t="shared" si="9"/>
        <v>0.907674144</v>
      </c>
      <c r="U28" s="544">
        <f t="shared" si="10"/>
        <v>7688</v>
      </c>
      <c r="V28" s="544">
        <v>2634.0</v>
      </c>
      <c r="W28" s="544">
        <v>5054.0</v>
      </c>
      <c r="X28" s="545">
        <f t="shared" si="11"/>
        <v>0.04427390791</v>
      </c>
      <c r="Y28" s="544">
        <v>375.0</v>
      </c>
      <c r="Z28" s="30">
        <v>30.31</v>
      </c>
      <c r="AA28" s="547">
        <f t="shared" si="12"/>
        <v>0.9935185185</v>
      </c>
      <c r="AB28" s="544">
        <v>1073.0</v>
      </c>
      <c r="AC28" s="547">
        <f t="shared" si="13"/>
        <v>0.9990740741</v>
      </c>
      <c r="AD28" s="544">
        <v>1079.0</v>
      </c>
      <c r="AE28" s="545">
        <f t="shared" si="14"/>
        <v>0.6259259259</v>
      </c>
      <c r="AF28" s="544">
        <v>676.0</v>
      </c>
      <c r="AG28" s="545">
        <f t="shared" si="15"/>
        <v>0.5703703704</v>
      </c>
      <c r="AH28" s="544">
        <v>616.0</v>
      </c>
      <c r="AI28" s="547">
        <f t="shared" si="16"/>
        <v>0.9990740741</v>
      </c>
      <c r="AJ28" s="544">
        <v>1079.0</v>
      </c>
      <c r="AK28" s="545">
        <f t="shared" si="17"/>
        <v>0.562037037</v>
      </c>
      <c r="AL28" s="544">
        <v>607.0</v>
      </c>
      <c r="AM28" s="545">
        <f t="shared" si="18"/>
        <v>0.8601851852</v>
      </c>
      <c r="AN28" s="544">
        <v>929.0</v>
      </c>
      <c r="AO28" s="545">
        <f t="shared" si="19"/>
        <v>0.6101851852</v>
      </c>
      <c r="AP28" s="544">
        <v>659.0</v>
      </c>
      <c r="AQ28" s="545">
        <f t="shared" si="20"/>
        <v>0.2962962963</v>
      </c>
      <c r="AR28" s="544">
        <v>320.0</v>
      </c>
      <c r="AS28" s="545">
        <f t="shared" si="21"/>
        <v>0.4981481481</v>
      </c>
      <c r="AT28" s="544">
        <v>538.0</v>
      </c>
      <c r="AU28" s="545">
        <f t="shared" si="22"/>
        <v>0.7592592593</v>
      </c>
      <c r="AV28" s="544">
        <v>820.0</v>
      </c>
      <c r="AW28" s="7"/>
      <c r="AX28" s="7"/>
      <c r="AY28" s="7"/>
      <c r="AZ28" s="7"/>
      <c r="BA28" s="7"/>
      <c r="BB28" s="7"/>
      <c r="BC28" s="7"/>
    </row>
    <row r="29">
      <c r="A29" s="546"/>
      <c r="B29" s="544" t="s">
        <v>882</v>
      </c>
      <c r="C29" s="544">
        <v>1030.0</v>
      </c>
      <c r="D29" s="545">
        <f t="shared" si="1"/>
        <v>0.5990291262</v>
      </c>
      <c r="E29" s="544">
        <v>617.0</v>
      </c>
      <c r="F29" s="546">
        <f t="shared" si="27"/>
        <v>413</v>
      </c>
      <c r="G29" s="545">
        <f t="shared" si="3"/>
        <v>0.6310679612</v>
      </c>
      <c r="H29" s="544">
        <v>650.0</v>
      </c>
      <c r="I29" s="545">
        <f t="shared" si="4"/>
        <v>0.3514563107</v>
      </c>
      <c r="J29" s="544">
        <v>362.0</v>
      </c>
      <c r="K29" s="545">
        <f t="shared" si="5"/>
        <v>0.06601941748</v>
      </c>
      <c r="L29" s="544">
        <v>68.0</v>
      </c>
      <c r="M29" s="544">
        <v>11087.0</v>
      </c>
      <c r="N29" s="544">
        <v>4383.0</v>
      </c>
      <c r="O29" s="546">
        <f t="shared" si="28"/>
        <v>6704</v>
      </c>
      <c r="P29" s="545">
        <f t="shared" si="7"/>
        <v>0.8711103094</v>
      </c>
      <c r="Q29" s="544">
        <v>9658.0</v>
      </c>
      <c r="R29" s="347">
        <f t="shared" si="8"/>
        <v>0.1784071435</v>
      </c>
      <c r="S29" s="544">
        <v>1978.0</v>
      </c>
      <c r="T29" s="545">
        <f t="shared" si="9"/>
        <v>0.9461531523</v>
      </c>
      <c r="U29" s="544">
        <f t="shared" si="10"/>
        <v>10490</v>
      </c>
      <c r="V29" s="544">
        <v>3458.0</v>
      </c>
      <c r="W29" s="544">
        <v>7032.0</v>
      </c>
      <c r="X29" s="545">
        <f t="shared" si="11"/>
        <v>0.03770181293</v>
      </c>
      <c r="Y29" s="544">
        <v>418.0</v>
      </c>
      <c r="Z29" s="30">
        <v>27.43</v>
      </c>
      <c r="AA29" s="547">
        <f t="shared" si="12"/>
        <v>0.9961165049</v>
      </c>
      <c r="AB29" s="544">
        <v>1026.0</v>
      </c>
      <c r="AC29" s="547">
        <f t="shared" si="13"/>
        <v>0.9990291262</v>
      </c>
      <c r="AD29" s="544">
        <v>1029.0</v>
      </c>
      <c r="AE29" s="545">
        <f t="shared" si="14"/>
        <v>0.5310679612</v>
      </c>
      <c r="AF29" s="544">
        <v>547.0</v>
      </c>
      <c r="AG29" s="545">
        <f t="shared" si="15"/>
        <v>0.4776699029</v>
      </c>
      <c r="AH29" s="544">
        <v>492.0</v>
      </c>
      <c r="AI29" s="547">
        <f t="shared" si="16"/>
        <v>1</v>
      </c>
      <c r="AJ29" s="544">
        <v>1030.0</v>
      </c>
      <c r="AK29" s="545">
        <f t="shared" si="17"/>
        <v>0.7165048544</v>
      </c>
      <c r="AL29" s="544">
        <v>738.0</v>
      </c>
      <c r="AM29" s="545">
        <f t="shared" si="18"/>
        <v>0.8475728155</v>
      </c>
      <c r="AN29" s="544">
        <v>873.0</v>
      </c>
      <c r="AO29" s="545">
        <f t="shared" si="19"/>
        <v>0.8378640777</v>
      </c>
      <c r="AP29" s="544">
        <v>863.0</v>
      </c>
      <c r="AQ29" s="545">
        <f t="shared" si="20"/>
        <v>0.3116504854</v>
      </c>
      <c r="AR29" s="544">
        <v>321.0</v>
      </c>
      <c r="AS29" s="545">
        <f t="shared" si="21"/>
        <v>0.6708737864</v>
      </c>
      <c r="AT29" s="544">
        <v>691.0</v>
      </c>
      <c r="AU29" s="545">
        <f t="shared" si="22"/>
        <v>0.6077669903</v>
      </c>
      <c r="AV29" s="544">
        <v>626.0</v>
      </c>
      <c r="AW29" s="7"/>
      <c r="AX29" s="7"/>
      <c r="AY29" s="7"/>
      <c r="AZ29" s="7"/>
      <c r="BA29" s="7"/>
      <c r="BB29" s="7"/>
      <c r="BC29" s="7"/>
    </row>
    <row r="30">
      <c r="A30" s="548"/>
      <c r="B30" s="549" t="s">
        <v>867</v>
      </c>
      <c r="C30" s="556">
        <v>27701.0</v>
      </c>
      <c r="D30" s="550">
        <f t="shared" si="1"/>
        <v>0.782462727</v>
      </c>
      <c r="E30" s="557">
        <v>21675.0</v>
      </c>
      <c r="F30" s="557">
        <v>6026.0</v>
      </c>
      <c r="G30" s="550">
        <f t="shared" si="3"/>
        <v>0.6916717808</v>
      </c>
      <c r="H30" s="549">
        <v>19160.0</v>
      </c>
      <c r="I30" s="550">
        <f t="shared" si="4"/>
        <v>0.2880040432</v>
      </c>
      <c r="J30" s="549">
        <v>7978.0</v>
      </c>
      <c r="K30" s="550">
        <f t="shared" si="5"/>
        <v>0.09107974441</v>
      </c>
      <c r="L30" s="549">
        <v>2523.0</v>
      </c>
      <c r="M30" s="549">
        <v>257134.0</v>
      </c>
      <c r="N30" s="549">
        <v>162591.0</v>
      </c>
      <c r="O30" s="548">
        <f t="shared" si="28"/>
        <v>94543</v>
      </c>
      <c r="P30" s="550">
        <f t="shared" si="7"/>
        <v>0.7522653558</v>
      </c>
      <c r="Q30" s="447">
        <v>193433.0</v>
      </c>
      <c r="R30" s="551">
        <f t="shared" si="8"/>
        <v>0.2449967721</v>
      </c>
      <c r="S30" s="447">
        <v>62997.0</v>
      </c>
      <c r="T30" s="550">
        <f t="shared" si="9"/>
        <v>0.915553758</v>
      </c>
      <c r="U30" s="552">
        <f t="shared" si="10"/>
        <v>235420</v>
      </c>
      <c r="V30" s="553">
        <v>80043.0</v>
      </c>
      <c r="W30" s="553">
        <v>155377.0</v>
      </c>
      <c r="X30" s="550">
        <f t="shared" si="11"/>
        <v>0.0594320471</v>
      </c>
      <c r="Y30" s="553">
        <v>15282.0</v>
      </c>
      <c r="Z30" s="552">
        <v>26.0</v>
      </c>
      <c r="AA30" s="554">
        <f t="shared" si="12"/>
        <v>0.997545215</v>
      </c>
      <c r="AB30" s="549">
        <v>27633.0</v>
      </c>
      <c r="AC30" s="554">
        <f t="shared" si="13"/>
        <v>0.9997473015</v>
      </c>
      <c r="AD30" s="549">
        <v>27694.0</v>
      </c>
      <c r="AE30" s="550">
        <f t="shared" si="14"/>
        <v>0.9681599942</v>
      </c>
      <c r="AF30" s="549">
        <v>26819.0</v>
      </c>
      <c r="AG30" s="550">
        <f t="shared" si="15"/>
        <v>0.9863181835</v>
      </c>
      <c r="AH30" s="549">
        <v>27322.0</v>
      </c>
      <c r="AI30" s="554">
        <f t="shared" si="16"/>
        <v>0.9997834013</v>
      </c>
      <c r="AJ30" s="549">
        <v>27695.0</v>
      </c>
      <c r="AK30" s="550">
        <f t="shared" si="17"/>
        <v>0.7130067507</v>
      </c>
      <c r="AL30" s="549">
        <v>19751.0</v>
      </c>
      <c r="AM30" s="550">
        <f t="shared" si="18"/>
        <v>0.8510162088</v>
      </c>
      <c r="AN30" s="549">
        <v>23574.0</v>
      </c>
      <c r="AO30" s="550">
        <f t="shared" si="19"/>
        <v>0.750333923</v>
      </c>
      <c r="AP30" s="549">
        <v>20785.0</v>
      </c>
      <c r="AQ30" s="550">
        <f t="shared" si="20"/>
        <v>0.9126385329</v>
      </c>
      <c r="AR30" s="549">
        <v>25281.0</v>
      </c>
      <c r="AS30" s="550">
        <f t="shared" si="21"/>
        <v>0.5930832822</v>
      </c>
      <c r="AT30" s="549">
        <v>16429.0</v>
      </c>
      <c r="AU30" s="550">
        <f t="shared" si="22"/>
        <v>0.6757517779</v>
      </c>
      <c r="AV30" s="549">
        <v>18719.0</v>
      </c>
      <c r="AW30" s="555"/>
      <c r="AX30" s="555"/>
      <c r="AY30" s="555"/>
      <c r="AZ30" s="555"/>
      <c r="BA30" s="555"/>
      <c r="BB30" s="555"/>
      <c r="BC30" s="555"/>
    </row>
    <row r="31">
      <c r="A31" s="544" t="s">
        <v>183</v>
      </c>
      <c r="B31" s="558" t="s">
        <v>883</v>
      </c>
      <c r="C31" s="544">
        <v>554.0</v>
      </c>
      <c r="D31" s="545">
        <f t="shared" si="1"/>
        <v>0.9115523466</v>
      </c>
      <c r="E31" s="544">
        <v>505.0</v>
      </c>
      <c r="F31" s="546">
        <f t="shared" ref="F31:F34" si="29">C31-E31</f>
        <v>49</v>
      </c>
      <c r="G31" s="545">
        <f t="shared" si="3"/>
        <v>0.8285198556</v>
      </c>
      <c r="H31" s="544">
        <v>459.0</v>
      </c>
      <c r="I31" s="545">
        <f t="shared" si="4"/>
        <v>0.1389891697</v>
      </c>
      <c r="J31" s="544">
        <v>77.0</v>
      </c>
      <c r="K31" s="545">
        <f t="shared" si="5"/>
        <v>0.1931407942</v>
      </c>
      <c r="L31" s="544">
        <v>107.0</v>
      </c>
      <c r="M31" s="546">
        <f t="shared" ref="M31:M39" si="30">N31+O31</f>
        <v>2628</v>
      </c>
      <c r="N31" s="544">
        <v>2231.0</v>
      </c>
      <c r="O31" s="544">
        <v>397.0</v>
      </c>
      <c r="P31" s="545">
        <f t="shared" si="7"/>
        <v>0.4619482496</v>
      </c>
      <c r="Q31" s="544">
        <v>1214.0</v>
      </c>
      <c r="R31" s="347">
        <f t="shared" si="8"/>
        <v>0.09284627093</v>
      </c>
      <c r="S31" s="544">
        <v>244.0</v>
      </c>
      <c r="T31" s="545">
        <f t="shared" si="9"/>
        <v>0.9592846271</v>
      </c>
      <c r="U31" s="544">
        <f t="shared" si="10"/>
        <v>2521</v>
      </c>
      <c r="V31" s="544">
        <v>1038.0</v>
      </c>
      <c r="W31" s="544">
        <v>1483.0</v>
      </c>
      <c r="X31" s="545">
        <f t="shared" si="11"/>
        <v>0.04870624049</v>
      </c>
      <c r="Y31" s="544">
        <v>128.0</v>
      </c>
      <c r="Z31" s="30">
        <v>18.63</v>
      </c>
      <c r="AA31" s="547">
        <f t="shared" si="12"/>
        <v>0.9458483755</v>
      </c>
      <c r="AB31" s="544">
        <v>524.0</v>
      </c>
      <c r="AC31" s="547">
        <f t="shared" si="13"/>
        <v>0.8375451264</v>
      </c>
      <c r="AD31" s="544">
        <v>464.0</v>
      </c>
      <c r="AE31" s="545">
        <f t="shared" si="14"/>
        <v>0.357400722</v>
      </c>
      <c r="AF31" s="544">
        <v>198.0</v>
      </c>
      <c r="AG31" s="545">
        <f t="shared" si="15"/>
        <v>0.4512635379</v>
      </c>
      <c r="AH31" s="544">
        <v>250.0</v>
      </c>
      <c r="AI31" s="547">
        <f t="shared" si="16"/>
        <v>0.8844765343</v>
      </c>
      <c r="AJ31" s="544">
        <v>490.0</v>
      </c>
      <c r="AK31" s="545">
        <f t="shared" si="17"/>
        <v>0.4909747292</v>
      </c>
      <c r="AL31" s="544">
        <v>272.0</v>
      </c>
      <c r="AM31" s="545">
        <f t="shared" si="18"/>
        <v>0.2418772563</v>
      </c>
      <c r="AN31" s="544">
        <v>134.0</v>
      </c>
      <c r="AO31" s="545">
        <f t="shared" si="19"/>
        <v>0.725631769</v>
      </c>
      <c r="AP31" s="544">
        <v>402.0</v>
      </c>
      <c r="AQ31" s="545">
        <f t="shared" si="20"/>
        <v>0.05415162455</v>
      </c>
      <c r="AR31" s="544">
        <v>30.0</v>
      </c>
      <c r="AS31" s="545">
        <f t="shared" si="21"/>
        <v>0.1570397112</v>
      </c>
      <c r="AT31" s="544">
        <v>87.0</v>
      </c>
      <c r="AU31" s="545">
        <f t="shared" si="22"/>
        <v>0.725631769</v>
      </c>
      <c r="AV31" s="544">
        <v>402.0</v>
      </c>
      <c r="AW31" s="7"/>
      <c r="AX31" s="7"/>
      <c r="AY31" s="7"/>
      <c r="AZ31" s="7"/>
      <c r="BA31" s="7"/>
      <c r="BB31" s="7"/>
      <c r="BC31" s="7"/>
    </row>
    <row r="32">
      <c r="A32" s="546"/>
      <c r="B32" s="560" t="s">
        <v>884</v>
      </c>
      <c r="C32" s="544">
        <v>1735.0</v>
      </c>
      <c r="D32" s="545">
        <f t="shared" si="1"/>
        <v>0.8864553314</v>
      </c>
      <c r="E32" s="544">
        <v>1538.0</v>
      </c>
      <c r="F32" s="546">
        <f t="shared" si="29"/>
        <v>197</v>
      </c>
      <c r="G32" s="545">
        <f t="shared" si="3"/>
        <v>0.6443804035</v>
      </c>
      <c r="H32" s="544">
        <v>1118.0</v>
      </c>
      <c r="I32" s="545">
        <f t="shared" si="4"/>
        <v>0.1371757925</v>
      </c>
      <c r="J32" s="544">
        <v>238.0</v>
      </c>
      <c r="K32" s="545">
        <f t="shared" si="5"/>
        <v>0.1711815562</v>
      </c>
      <c r="L32" s="544">
        <v>297.0</v>
      </c>
      <c r="M32" s="546">
        <f t="shared" si="30"/>
        <v>9289</v>
      </c>
      <c r="N32" s="544">
        <v>7332.0</v>
      </c>
      <c r="O32" s="544">
        <v>1957.0</v>
      </c>
      <c r="P32" s="545">
        <f t="shared" si="7"/>
        <v>0.5321347831</v>
      </c>
      <c r="Q32" s="544">
        <v>4943.0</v>
      </c>
      <c r="R32" s="347">
        <f t="shared" si="8"/>
        <v>0.0903218861</v>
      </c>
      <c r="S32" s="544">
        <v>839.0</v>
      </c>
      <c r="T32" s="545">
        <f t="shared" si="9"/>
        <v>0.9396059856</v>
      </c>
      <c r="U32" s="544">
        <f t="shared" si="10"/>
        <v>8728</v>
      </c>
      <c r="V32" s="544">
        <v>4184.0</v>
      </c>
      <c r="W32" s="544">
        <v>4544.0</v>
      </c>
      <c r="X32" s="545">
        <f t="shared" si="11"/>
        <v>0.08095596943</v>
      </c>
      <c r="Y32" s="544">
        <v>752.0</v>
      </c>
      <c r="Z32" s="30">
        <v>19.16</v>
      </c>
      <c r="AA32" s="547">
        <f t="shared" si="12"/>
        <v>0.8968299712</v>
      </c>
      <c r="AB32" s="544">
        <v>1556.0</v>
      </c>
      <c r="AC32" s="547">
        <f t="shared" si="13"/>
        <v>0.9112391931</v>
      </c>
      <c r="AD32" s="544">
        <v>1581.0</v>
      </c>
      <c r="AE32" s="545">
        <f t="shared" si="14"/>
        <v>0.3596541787</v>
      </c>
      <c r="AF32" s="544">
        <v>624.0</v>
      </c>
      <c r="AG32" s="545">
        <f t="shared" si="15"/>
        <v>0.4374639769</v>
      </c>
      <c r="AH32" s="544">
        <v>759.0</v>
      </c>
      <c r="AI32" s="547">
        <f t="shared" si="16"/>
        <v>0.869740634</v>
      </c>
      <c r="AJ32" s="544">
        <v>1509.0</v>
      </c>
      <c r="AK32" s="545">
        <f t="shared" si="17"/>
        <v>0.5965417867</v>
      </c>
      <c r="AL32" s="544">
        <v>1035.0</v>
      </c>
      <c r="AM32" s="545">
        <f t="shared" si="18"/>
        <v>0.2461095101</v>
      </c>
      <c r="AN32" s="544">
        <v>427.0</v>
      </c>
      <c r="AO32" s="545">
        <f t="shared" si="19"/>
        <v>0.8386167147</v>
      </c>
      <c r="AP32" s="544">
        <v>1455.0</v>
      </c>
      <c r="AQ32" s="545">
        <f t="shared" si="20"/>
        <v>0.07550432277</v>
      </c>
      <c r="AR32" s="544">
        <v>131.0</v>
      </c>
      <c r="AS32" s="545">
        <f t="shared" si="21"/>
        <v>0.130259366</v>
      </c>
      <c r="AT32" s="544">
        <v>226.0</v>
      </c>
      <c r="AU32" s="545">
        <f t="shared" si="22"/>
        <v>0.7043227666</v>
      </c>
      <c r="AV32" s="544">
        <v>1222.0</v>
      </c>
      <c r="AW32" s="7"/>
      <c r="AX32" s="7"/>
      <c r="AY32" s="7"/>
      <c r="AZ32" s="7"/>
      <c r="BA32" s="7"/>
      <c r="BB32" s="7"/>
      <c r="BC32" s="7"/>
    </row>
    <row r="33">
      <c r="A33" s="546"/>
      <c r="B33" s="558" t="s">
        <v>885</v>
      </c>
      <c r="C33" s="544">
        <v>1710.0</v>
      </c>
      <c r="D33" s="545">
        <f t="shared" si="1"/>
        <v>0.7900584795</v>
      </c>
      <c r="E33" s="544">
        <v>1351.0</v>
      </c>
      <c r="F33" s="546">
        <f t="shared" si="29"/>
        <v>359</v>
      </c>
      <c r="G33" s="545">
        <f t="shared" si="3"/>
        <v>0.7450292398</v>
      </c>
      <c r="H33" s="544">
        <v>1274.0</v>
      </c>
      <c r="I33" s="545">
        <f t="shared" si="4"/>
        <v>0.2087719298</v>
      </c>
      <c r="J33" s="544">
        <v>357.0</v>
      </c>
      <c r="K33" s="545">
        <f t="shared" si="5"/>
        <v>0.1479532164</v>
      </c>
      <c r="L33" s="544">
        <v>253.0</v>
      </c>
      <c r="M33" s="546">
        <f t="shared" si="30"/>
        <v>11285</v>
      </c>
      <c r="N33" s="544">
        <v>6846.0</v>
      </c>
      <c r="O33" s="544">
        <v>4439.0</v>
      </c>
      <c r="P33" s="545">
        <f t="shared" si="7"/>
        <v>0.5012848914</v>
      </c>
      <c r="Q33" s="544">
        <v>5657.0</v>
      </c>
      <c r="R33" s="347">
        <f t="shared" si="8"/>
        <v>0.06521931768</v>
      </c>
      <c r="S33" s="544">
        <v>736.0</v>
      </c>
      <c r="T33" s="545">
        <f t="shared" si="9"/>
        <v>0.9724412938</v>
      </c>
      <c r="U33" s="544">
        <f t="shared" si="10"/>
        <v>10974</v>
      </c>
      <c r="V33" s="544">
        <v>4772.0</v>
      </c>
      <c r="W33" s="544">
        <v>6202.0</v>
      </c>
      <c r="X33" s="545">
        <f t="shared" si="11"/>
        <v>0.09144882588</v>
      </c>
      <c r="Y33" s="544">
        <v>1032.0</v>
      </c>
      <c r="Z33" s="30">
        <v>21.34</v>
      </c>
      <c r="AA33" s="547">
        <f t="shared" si="12"/>
        <v>0.9614035088</v>
      </c>
      <c r="AB33" s="544">
        <v>1644.0</v>
      </c>
      <c r="AC33" s="547">
        <f t="shared" si="13"/>
        <v>0.918128655</v>
      </c>
      <c r="AD33" s="544">
        <v>1570.0</v>
      </c>
      <c r="AE33" s="545">
        <f t="shared" si="14"/>
        <v>0.450877193</v>
      </c>
      <c r="AF33" s="544">
        <v>771.0</v>
      </c>
      <c r="AG33" s="545">
        <f t="shared" si="15"/>
        <v>0.5058479532</v>
      </c>
      <c r="AH33" s="544">
        <v>865.0</v>
      </c>
      <c r="AI33" s="547">
        <f t="shared" si="16"/>
        <v>0.9573099415</v>
      </c>
      <c r="AJ33" s="544">
        <v>1637.0</v>
      </c>
      <c r="AK33" s="545">
        <f t="shared" si="17"/>
        <v>0.5479532164</v>
      </c>
      <c r="AL33" s="544">
        <v>937.0</v>
      </c>
      <c r="AM33" s="545">
        <f t="shared" si="18"/>
        <v>0.2994152047</v>
      </c>
      <c r="AN33" s="544">
        <v>512.0</v>
      </c>
      <c r="AO33" s="545">
        <f t="shared" si="19"/>
        <v>0.9239766082</v>
      </c>
      <c r="AP33" s="544">
        <v>1580.0</v>
      </c>
      <c r="AQ33" s="545">
        <f t="shared" si="20"/>
        <v>0.1116959064</v>
      </c>
      <c r="AR33" s="544">
        <v>191.0</v>
      </c>
      <c r="AS33" s="545">
        <f t="shared" si="21"/>
        <v>0.1432748538</v>
      </c>
      <c r="AT33" s="544">
        <v>245.0</v>
      </c>
      <c r="AU33" s="545">
        <f t="shared" si="22"/>
        <v>0.7321637427</v>
      </c>
      <c r="AV33" s="544">
        <v>1252.0</v>
      </c>
      <c r="AW33" s="7"/>
      <c r="AX33" s="7"/>
      <c r="AY33" s="7"/>
      <c r="AZ33" s="7"/>
      <c r="BA33" s="7"/>
      <c r="BB33" s="7"/>
      <c r="BC33" s="7"/>
    </row>
    <row r="34">
      <c r="A34" s="546"/>
      <c r="B34" s="558" t="s">
        <v>445</v>
      </c>
      <c r="C34" s="544">
        <v>3180.0</v>
      </c>
      <c r="D34" s="545">
        <f t="shared" si="1"/>
        <v>0</v>
      </c>
      <c r="E34" s="544">
        <v>0.0</v>
      </c>
      <c r="F34" s="546">
        <f t="shared" si="29"/>
        <v>3180</v>
      </c>
      <c r="G34" s="545">
        <f t="shared" si="3"/>
        <v>0.243081761</v>
      </c>
      <c r="H34" s="544">
        <v>773.0</v>
      </c>
      <c r="I34" s="545">
        <f t="shared" si="4"/>
        <v>0.6682389937</v>
      </c>
      <c r="J34" s="544">
        <v>2125.0</v>
      </c>
      <c r="K34" s="545">
        <f t="shared" si="5"/>
        <v>0.04905660377</v>
      </c>
      <c r="L34" s="544">
        <v>156.0</v>
      </c>
      <c r="M34" s="546">
        <f t="shared" si="30"/>
        <v>41742</v>
      </c>
      <c r="N34" s="544">
        <v>0.0</v>
      </c>
      <c r="O34" s="544">
        <v>41742.0</v>
      </c>
      <c r="P34" s="545">
        <f t="shared" si="7"/>
        <v>0.8155574721</v>
      </c>
      <c r="Q34" s="544">
        <v>34043.0</v>
      </c>
      <c r="R34" s="347">
        <f t="shared" si="8"/>
        <v>0.0362225097</v>
      </c>
      <c r="S34" s="544">
        <v>1512.0</v>
      </c>
      <c r="T34" s="545">
        <f t="shared" si="9"/>
        <v>0.8865650903</v>
      </c>
      <c r="U34" s="544">
        <f t="shared" si="10"/>
        <v>37007</v>
      </c>
      <c r="V34" s="544">
        <v>21478.0</v>
      </c>
      <c r="W34" s="544">
        <v>15529.0</v>
      </c>
      <c r="X34" s="545">
        <f t="shared" si="11"/>
        <v>0.2047338412</v>
      </c>
      <c r="Y34" s="544">
        <v>8546.0</v>
      </c>
      <c r="Z34" s="30">
        <v>24.7</v>
      </c>
      <c r="AA34" s="547">
        <f t="shared" si="12"/>
        <v>0.9487421384</v>
      </c>
      <c r="AB34" s="544">
        <v>3017.0</v>
      </c>
      <c r="AC34" s="547">
        <f t="shared" si="13"/>
        <v>0.9729559748</v>
      </c>
      <c r="AD34" s="544">
        <v>3094.0</v>
      </c>
      <c r="AE34" s="545">
        <f t="shared" si="14"/>
        <v>0.1443396226</v>
      </c>
      <c r="AF34" s="544">
        <v>459.0</v>
      </c>
      <c r="AG34" s="545">
        <f t="shared" si="15"/>
        <v>0.1352201258</v>
      </c>
      <c r="AH34" s="544">
        <v>430.0</v>
      </c>
      <c r="AI34" s="547">
        <f t="shared" si="16"/>
        <v>0.9789308176</v>
      </c>
      <c r="AJ34" s="544">
        <v>3113.0</v>
      </c>
      <c r="AK34" s="545">
        <f t="shared" si="17"/>
        <v>0.9619496855</v>
      </c>
      <c r="AL34" s="544">
        <v>3059.0</v>
      </c>
      <c r="AM34" s="545">
        <f t="shared" si="18"/>
        <v>0.3402515723</v>
      </c>
      <c r="AN34" s="544">
        <v>1082.0</v>
      </c>
      <c r="AO34" s="545">
        <f t="shared" si="19"/>
        <v>0.8679245283</v>
      </c>
      <c r="AP34" s="544">
        <v>2760.0</v>
      </c>
      <c r="AQ34" s="545">
        <f t="shared" si="20"/>
        <v>0.3308176101</v>
      </c>
      <c r="AR34" s="544">
        <v>1052.0</v>
      </c>
      <c r="AS34" s="545">
        <f t="shared" si="21"/>
        <v>0.6594339623</v>
      </c>
      <c r="AT34" s="544">
        <v>2097.0</v>
      </c>
      <c r="AU34" s="545">
        <f t="shared" si="22"/>
        <v>0.2330188679</v>
      </c>
      <c r="AV34" s="544">
        <v>741.0</v>
      </c>
      <c r="AW34" s="7"/>
      <c r="AX34" s="7"/>
      <c r="AY34" s="7"/>
      <c r="AZ34" s="7"/>
      <c r="BA34" s="7"/>
      <c r="BB34" s="7"/>
      <c r="BC34" s="7"/>
    </row>
    <row r="35">
      <c r="A35" s="548"/>
      <c r="B35" s="559" t="s">
        <v>867</v>
      </c>
      <c r="C35" s="556">
        <v>43083.0</v>
      </c>
      <c r="D35" s="550">
        <f t="shared" si="1"/>
        <v>0.6626047397</v>
      </c>
      <c r="E35" s="557">
        <v>28547.0</v>
      </c>
      <c r="F35" s="557">
        <v>14536.0</v>
      </c>
      <c r="G35" s="550">
        <f t="shared" si="3"/>
        <v>0.6434556554</v>
      </c>
      <c r="H35" s="549">
        <v>27722.0</v>
      </c>
      <c r="I35" s="550">
        <f t="shared" si="4"/>
        <v>0.2830118608</v>
      </c>
      <c r="J35" s="549">
        <v>12193.0</v>
      </c>
      <c r="K35" s="550">
        <f t="shared" si="5"/>
        <v>0.1483647843</v>
      </c>
      <c r="L35" s="549">
        <v>6392.0</v>
      </c>
      <c r="M35" s="548">
        <f t="shared" si="30"/>
        <v>320894</v>
      </c>
      <c r="N35" s="549">
        <v>140628.0</v>
      </c>
      <c r="O35" s="549">
        <v>180266.0</v>
      </c>
      <c r="P35" s="550">
        <f t="shared" si="7"/>
        <v>0.6058542696</v>
      </c>
      <c r="Q35" s="447">
        <v>194415.0</v>
      </c>
      <c r="R35" s="551">
        <f t="shared" si="8"/>
        <v>0.06182415377</v>
      </c>
      <c r="S35" s="447">
        <v>19839.0</v>
      </c>
      <c r="T35" s="550">
        <f t="shared" si="9"/>
        <v>0.9245638747</v>
      </c>
      <c r="U35" s="552">
        <f t="shared" si="10"/>
        <v>296687</v>
      </c>
      <c r="V35" s="553">
        <v>144848.0</v>
      </c>
      <c r="W35" s="553">
        <v>151839.0</v>
      </c>
      <c r="X35" s="550">
        <f t="shared" si="11"/>
        <v>0.1020243445</v>
      </c>
      <c r="Y35" s="553">
        <v>32739.0</v>
      </c>
      <c r="Z35" s="552">
        <v>22.0</v>
      </c>
      <c r="AA35" s="554">
        <f t="shared" si="12"/>
        <v>0.9273495346</v>
      </c>
      <c r="AB35" s="549">
        <v>39953.0</v>
      </c>
      <c r="AC35" s="554">
        <f t="shared" si="13"/>
        <v>0.8639370517</v>
      </c>
      <c r="AD35" s="549">
        <v>37221.0</v>
      </c>
      <c r="AE35" s="550">
        <f t="shared" si="14"/>
        <v>0.6762992364</v>
      </c>
      <c r="AF35" s="549">
        <v>29137.0</v>
      </c>
      <c r="AG35" s="550">
        <f t="shared" si="15"/>
        <v>0.7758976859</v>
      </c>
      <c r="AH35" s="549">
        <v>33428.0</v>
      </c>
      <c r="AI35" s="554">
        <f t="shared" si="16"/>
        <v>0.9033725599</v>
      </c>
      <c r="AJ35" s="549">
        <v>38920.0</v>
      </c>
      <c r="AK35" s="550">
        <f t="shared" si="17"/>
        <v>0.626233085</v>
      </c>
      <c r="AL35" s="549">
        <v>26980.0</v>
      </c>
      <c r="AM35" s="550">
        <f t="shared" si="18"/>
        <v>0.3194067266</v>
      </c>
      <c r="AN35" s="549">
        <v>13761.0</v>
      </c>
      <c r="AO35" s="550">
        <f t="shared" si="19"/>
        <v>0.8291205348</v>
      </c>
      <c r="AP35" s="549">
        <v>35721.0</v>
      </c>
      <c r="AQ35" s="550">
        <f t="shared" si="20"/>
        <v>0.2262609382</v>
      </c>
      <c r="AR35" s="549">
        <v>9748.0</v>
      </c>
      <c r="AS35" s="550">
        <f t="shared" si="21"/>
        <v>0.2294872688</v>
      </c>
      <c r="AT35" s="549">
        <v>9887.0</v>
      </c>
      <c r="AU35" s="550">
        <f t="shared" si="22"/>
        <v>0.6195715247</v>
      </c>
      <c r="AV35" s="549">
        <v>26693.0</v>
      </c>
      <c r="AW35" s="555"/>
      <c r="AX35" s="555"/>
      <c r="AY35" s="555"/>
      <c r="AZ35" s="555"/>
      <c r="BA35" s="555"/>
      <c r="BB35" s="555"/>
      <c r="BC35" s="555"/>
    </row>
    <row r="36">
      <c r="A36" s="544" t="s">
        <v>175</v>
      </c>
      <c r="B36" s="544" t="s">
        <v>886</v>
      </c>
      <c r="C36" s="544">
        <v>277.0</v>
      </c>
      <c r="D36" s="545">
        <f t="shared" si="1"/>
        <v>0.5270758123</v>
      </c>
      <c r="E36" s="544">
        <v>146.0</v>
      </c>
      <c r="F36" s="546">
        <f t="shared" ref="F36:F38" si="31">C36-E36</f>
        <v>131</v>
      </c>
      <c r="G36" s="545">
        <f t="shared" si="3"/>
        <v>0.6750902527</v>
      </c>
      <c r="H36" s="544">
        <v>187.0</v>
      </c>
      <c r="I36" s="545">
        <f t="shared" si="4"/>
        <v>0.2599277978</v>
      </c>
      <c r="J36" s="544">
        <v>72.0</v>
      </c>
      <c r="K36" s="545">
        <f t="shared" si="5"/>
        <v>0.007220216606</v>
      </c>
      <c r="L36" s="544">
        <v>2.0</v>
      </c>
      <c r="M36" s="546">
        <f t="shared" si="30"/>
        <v>1614</v>
      </c>
      <c r="N36" s="544">
        <v>773.0</v>
      </c>
      <c r="O36" s="544">
        <v>841.0</v>
      </c>
      <c r="P36" s="545">
        <f t="shared" si="7"/>
        <v>0.5123915737</v>
      </c>
      <c r="Q36" s="544">
        <v>827.0</v>
      </c>
      <c r="R36" s="347">
        <f t="shared" si="8"/>
        <v>0.6728624535</v>
      </c>
      <c r="S36" s="544">
        <v>1086.0</v>
      </c>
      <c r="T36" s="545">
        <f t="shared" si="9"/>
        <v>0.7484510533</v>
      </c>
      <c r="U36" s="544">
        <f t="shared" si="10"/>
        <v>1208</v>
      </c>
      <c r="V36" s="544">
        <v>879.0</v>
      </c>
      <c r="W36" s="544">
        <v>329.0</v>
      </c>
      <c r="X36" s="545">
        <f t="shared" si="11"/>
        <v>0.14622057</v>
      </c>
      <c r="Y36" s="544">
        <v>236.0</v>
      </c>
      <c r="Z36" s="30">
        <v>15.73</v>
      </c>
      <c r="AA36" s="547">
        <f t="shared" si="12"/>
        <v>0.8844765343</v>
      </c>
      <c r="AB36" s="544">
        <v>245.0</v>
      </c>
      <c r="AC36" s="547">
        <f t="shared" si="13"/>
        <v>0.9819494585</v>
      </c>
      <c r="AD36" s="544">
        <v>272.0</v>
      </c>
      <c r="AE36" s="545">
        <f t="shared" si="14"/>
        <v>0.523465704</v>
      </c>
      <c r="AF36" s="544">
        <v>145.0</v>
      </c>
      <c r="AG36" s="545">
        <f t="shared" si="15"/>
        <v>0.5198555957</v>
      </c>
      <c r="AH36" s="544">
        <v>144.0</v>
      </c>
      <c r="AI36" s="547">
        <f t="shared" si="16"/>
        <v>0.8519855596</v>
      </c>
      <c r="AJ36" s="544">
        <v>236.0</v>
      </c>
      <c r="AK36" s="545">
        <f t="shared" si="17"/>
        <v>0.3862815884</v>
      </c>
      <c r="AL36" s="544">
        <v>107.0</v>
      </c>
      <c r="AM36" s="545">
        <f t="shared" si="18"/>
        <v>0.2238267148</v>
      </c>
      <c r="AN36" s="544">
        <v>62.0</v>
      </c>
      <c r="AO36" s="545">
        <f t="shared" si="19"/>
        <v>0.725631769</v>
      </c>
      <c r="AP36" s="544">
        <v>201.0</v>
      </c>
      <c r="AQ36" s="545">
        <f t="shared" si="20"/>
        <v>0.285198556</v>
      </c>
      <c r="AR36" s="544">
        <v>79.0</v>
      </c>
      <c r="AS36" s="545">
        <f t="shared" si="21"/>
        <v>0.02888086643</v>
      </c>
      <c r="AT36" s="544">
        <v>8.0</v>
      </c>
      <c r="AU36" s="545">
        <f t="shared" si="22"/>
        <v>0.6967509025</v>
      </c>
      <c r="AV36" s="544">
        <v>193.0</v>
      </c>
      <c r="AW36" s="7"/>
      <c r="AX36" s="7"/>
      <c r="AY36" s="7"/>
      <c r="AZ36" s="7"/>
      <c r="BA36" s="7"/>
      <c r="BB36" s="7"/>
      <c r="BC36" s="7"/>
    </row>
    <row r="37">
      <c r="A37" s="546"/>
      <c r="B37" s="544" t="s">
        <v>887</v>
      </c>
      <c r="C37" s="544">
        <v>381.0</v>
      </c>
      <c r="D37" s="545">
        <f t="shared" si="1"/>
        <v>0.8871391076</v>
      </c>
      <c r="E37" s="544">
        <v>338.0</v>
      </c>
      <c r="F37" s="546">
        <f t="shared" si="31"/>
        <v>43</v>
      </c>
      <c r="G37" s="545">
        <f t="shared" si="3"/>
        <v>0.7349081365</v>
      </c>
      <c r="H37" s="544">
        <v>280.0</v>
      </c>
      <c r="I37" s="545">
        <f t="shared" si="4"/>
        <v>0.188976378</v>
      </c>
      <c r="J37" s="544">
        <v>72.0</v>
      </c>
      <c r="K37" s="545">
        <f t="shared" si="5"/>
        <v>0.03412073491</v>
      </c>
      <c r="L37" s="544">
        <v>13.0</v>
      </c>
      <c r="M37" s="546">
        <f t="shared" si="30"/>
        <v>1781</v>
      </c>
      <c r="N37" s="544">
        <v>1517.0</v>
      </c>
      <c r="O37" s="544">
        <v>264.0</v>
      </c>
      <c r="P37" s="545">
        <f t="shared" si="7"/>
        <v>0.4441325098</v>
      </c>
      <c r="Q37" s="544">
        <v>791.0</v>
      </c>
      <c r="R37" s="347">
        <f t="shared" si="8"/>
        <v>0.6468276249</v>
      </c>
      <c r="S37" s="544">
        <v>1152.0</v>
      </c>
      <c r="T37" s="545">
        <f t="shared" si="9"/>
        <v>0.6709713644</v>
      </c>
      <c r="U37" s="544">
        <f t="shared" si="10"/>
        <v>1195</v>
      </c>
      <c r="V37" s="544">
        <v>938.0</v>
      </c>
      <c r="W37" s="544">
        <v>257.0</v>
      </c>
      <c r="X37" s="545">
        <f t="shared" si="11"/>
        <v>0.03705783268</v>
      </c>
      <c r="Y37" s="544">
        <v>66.0</v>
      </c>
      <c r="Z37" s="30">
        <v>15.9</v>
      </c>
      <c r="AA37" s="547">
        <f t="shared" si="12"/>
        <v>1</v>
      </c>
      <c r="AB37" s="544">
        <v>381.0</v>
      </c>
      <c r="AC37" s="547">
        <f t="shared" si="13"/>
        <v>0.9737532808</v>
      </c>
      <c r="AD37" s="544">
        <v>371.0</v>
      </c>
      <c r="AE37" s="545">
        <f t="shared" si="14"/>
        <v>0.7427821522</v>
      </c>
      <c r="AF37" s="544">
        <v>283.0</v>
      </c>
      <c r="AG37" s="545">
        <f t="shared" si="15"/>
        <v>0.7349081365</v>
      </c>
      <c r="AH37" s="544">
        <v>280.0</v>
      </c>
      <c r="AI37" s="547">
        <f t="shared" si="16"/>
        <v>0.7060367454</v>
      </c>
      <c r="AJ37" s="544">
        <v>269.0</v>
      </c>
      <c r="AK37" s="545">
        <f t="shared" si="17"/>
        <v>0.3517060367</v>
      </c>
      <c r="AL37" s="544">
        <v>134.0</v>
      </c>
      <c r="AM37" s="545">
        <f t="shared" si="18"/>
        <v>0.2362204724</v>
      </c>
      <c r="AN37" s="544">
        <v>90.0</v>
      </c>
      <c r="AO37" s="545">
        <f t="shared" si="19"/>
        <v>0.8083989501</v>
      </c>
      <c r="AP37" s="544">
        <v>308.0</v>
      </c>
      <c r="AQ37" s="545">
        <f t="shared" si="20"/>
        <v>0.154855643</v>
      </c>
      <c r="AR37" s="544">
        <v>59.0</v>
      </c>
      <c r="AS37" s="545">
        <f t="shared" si="21"/>
        <v>0.2729658793</v>
      </c>
      <c r="AT37" s="544">
        <v>104.0</v>
      </c>
      <c r="AU37" s="545">
        <f t="shared" si="22"/>
        <v>0.7559055118</v>
      </c>
      <c r="AV37" s="544">
        <v>288.0</v>
      </c>
      <c r="AW37" s="7"/>
      <c r="AX37" s="7"/>
      <c r="AY37" s="7"/>
      <c r="AZ37" s="7"/>
      <c r="BA37" s="7"/>
      <c r="BB37" s="7"/>
      <c r="BC37" s="7"/>
    </row>
    <row r="38">
      <c r="A38" s="546"/>
      <c r="B38" s="544" t="s">
        <v>420</v>
      </c>
      <c r="C38" s="544">
        <v>879.0</v>
      </c>
      <c r="D38" s="545">
        <f t="shared" si="1"/>
        <v>0.3447098976</v>
      </c>
      <c r="E38" s="544">
        <v>303.0</v>
      </c>
      <c r="F38" s="546">
        <f t="shared" si="31"/>
        <v>576</v>
      </c>
      <c r="G38" s="545">
        <f t="shared" si="3"/>
        <v>0.5176336746</v>
      </c>
      <c r="H38" s="544">
        <v>455.0</v>
      </c>
      <c r="I38" s="545">
        <f t="shared" si="4"/>
        <v>0.3492605233</v>
      </c>
      <c r="J38" s="544">
        <v>307.0</v>
      </c>
      <c r="K38" s="545">
        <f t="shared" si="5"/>
        <v>0.01023890785</v>
      </c>
      <c r="L38" s="544">
        <v>9.0</v>
      </c>
      <c r="M38" s="546">
        <f t="shared" si="30"/>
        <v>6810</v>
      </c>
      <c r="N38" s="544">
        <v>1694.0</v>
      </c>
      <c r="O38" s="544">
        <v>5116.0</v>
      </c>
      <c r="P38" s="545">
        <f t="shared" si="7"/>
        <v>0.5649045521</v>
      </c>
      <c r="Q38" s="544">
        <v>3847.0</v>
      </c>
      <c r="R38" s="347">
        <f t="shared" si="8"/>
        <v>0.6284875184</v>
      </c>
      <c r="S38" s="544">
        <v>4280.0</v>
      </c>
      <c r="T38" s="545">
        <f t="shared" si="9"/>
        <v>0.810866373</v>
      </c>
      <c r="U38" s="544">
        <f t="shared" si="10"/>
        <v>5522</v>
      </c>
      <c r="V38" s="544">
        <v>3537.0</v>
      </c>
      <c r="W38" s="544">
        <v>1985.0</v>
      </c>
      <c r="X38" s="545">
        <f t="shared" si="11"/>
        <v>0.1546255507</v>
      </c>
      <c r="Y38" s="544">
        <v>1053.0</v>
      </c>
      <c r="Z38" s="30">
        <v>12.65</v>
      </c>
      <c r="AA38" s="547">
        <f t="shared" si="12"/>
        <v>1</v>
      </c>
      <c r="AB38" s="544">
        <v>879.0</v>
      </c>
      <c r="AC38" s="547">
        <f t="shared" si="13"/>
        <v>0.98407281</v>
      </c>
      <c r="AD38" s="544">
        <v>865.0</v>
      </c>
      <c r="AE38" s="545">
        <f t="shared" si="14"/>
        <v>0.6313993174</v>
      </c>
      <c r="AF38" s="544">
        <v>555.0</v>
      </c>
      <c r="AG38" s="545">
        <f t="shared" si="15"/>
        <v>0.614334471</v>
      </c>
      <c r="AH38" s="544">
        <v>540.0</v>
      </c>
      <c r="AI38" s="547">
        <f t="shared" si="16"/>
        <v>0.9704209329</v>
      </c>
      <c r="AJ38" s="544">
        <v>853.0</v>
      </c>
      <c r="AK38" s="545">
        <f t="shared" si="17"/>
        <v>0.5472127418</v>
      </c>
      <c r="AL38" s="544">
        <v>481.0</v>
      </c>
      <c r="AM38" s="545">
        <f t="shared" si="18"/>
        <v>0.1877133106</v>
      </c>
      <c r="AN38" s="544">
        <v>165.0</v>
      </c>
      <c r="AO38" s="545">
        <f t="shared" si="19"/>
        <v>0.4641638225</v>
      </c>
      <c r="AP38" s="544">
        <v>408.0</v>
      </c>
      <c r="AQ38" s="545">
        <f t="shared" si="20"/>
        <v>0.2320819113</v>
      </c>
      <c r="AR38" s="544">
        <v>204.0</v>
      </c>
      <c r="AS38" s="545">
        <f t="shared" si="21"/>
        <v>0.0944254835</v>
      </c>
      <c r="AT38" s="544">
        <v>83.0</v>
      </c>
      <c r="AU38" s="545">
        <f t="shared" si="22"/>
        <v>0.5108077361</v>
      </c>
      <c r="AV38" s="544">
        <v>449.0</v>
      </c>
      <c r="AW38" s="7"/>
      <c r="AX38" s="7"/>
      <c r="AY38" s="7"/>
      <c r="AZ38" s="7"/>
      <c r="BA38" s="7"/>
      <c r="BB38" s="7"/>
      <c r="BC38" s="7"/>
    </row>
    <row r="39">
      <c r="A39" s="548"/>
      <c r="B39" s="549" t="s">
        <v>867</v>
      </c>
      <c r="C39" s="556">
        <v>3911.0</v>
      </c>
      <c r="D39" s="550">
        <f t="shared" si="1"/>
        <v>0.6765533112</v>
      </c>
      <c r="E39" s="557">
        <v>2646.0</v>
      </c>
      <c r="F39" s="557">
        <v>1265.0</v>
      </c>
      <c r="G39" s="550">
        <f t="shared" si="3"/>
        <v>0.6507287139</v>
      </c>
      <c r="H39" s="549">
        <v>2545.0</v>
      </c>
      <c r="I39" s="550">
        <f t="shared" si="4"/>
        <v>0.2643825109</v>
      </c>
      <c r="J39" s="549">
        <v>1034.0</v>
      </c>
      <c r="K39" s="550">
        <f t="shared" si="5"/>
        <v>0.01559703401</v>
      </c>
      <c r="L39" s="549">
        <v>61.0</v>
      </c>
      <c r="M39" s="548">
        <f t="shared" si="30"/>
        <v>23366</v>
      </c>
      <c r="N39" s="549">
        <v>13358.0</v>
      </c>
      <c r="O39" s="549">
        <v>10008.0</v>
      </c>
      <c r="P39" s="550">
        <f t="shared" si="7"/>
        <v>0.4711974664</v>
      </c>
      <c r="Q39" s="447">
        <v>11010.0</v>
      </c>
      <c r="R39" s="551">
        <f t="shared" si="8"/>
        <v>0.6013438329</v>
      </c>
      <c r="S39" s="447">
        <v>14051.0</v>
      </c>
      <c r="T39" s="550">
        <f t="shared" si="9"/>
        <v>0.7296499187</v>
      </c>
      <c r="U39" s="552">
        <f t="shared" si="10"/>
        <v>17049</v>
      </c>
      <c r="V39" s="553">
        <v>12307.0</v>
      </c>
      <c r="W39" s="553">
        <v>4742.0</v>
      </c>
      <c r="X39" s="550">
        <f t="shared" si="11"/>
        <v>0.137978259</v>
      </c>
      <c r="Y39" s="553">
        <v>3224.0</v>
      </c>
      <c r="Z39" s="552">
        <v>14.0</v>
      </c>
      <c r="AA39" s="554">
        <f t="shared" si="12"/>
        <v>0.9301968806</v>
      </c>
      <c r="AB39" s="549">
        <v>3638.0</v>
      </c>
      <c r="AC39" s="554">
        <f t="shared" si="13"/>
        <v>0.9020710816</v>
      </c>
      <c r="AD39" s="549">
        <v>3528.0</v>
      </c>
      <c r="AE39" s="550">
        <f t="shared" si="14"/>
        <v>0.8698542572</v>
      </c>
      <c r="AF39" s="549">
        <v>3402.0</v>
      </c>
      <c r="AG39" s="550">
        <f t="shared" si="15"/>
        <v>0.8683201227</v>
      </c>
      <c r="AH39" s="549">
        <v>3396.0</v>
      </c>
      <c r="AI39" s="554">
        <f t="shared" si="16"/>
        <v>0.7962158016</v>
      </c>
      <c r="AJ39" s="549">
        <v>3114.0</v>
      </c>
      <c r="AK39" s="550">
        <f t="shared" si="17"/>
        <v>0.3968294554</v>
      </c>
      <c r="AL39" s="549">
        <v>1552.0</v>
      </c>
      <c r="AM39" s="550">
        <f t="shared" si="18"/>
        <v>0.1897212989</v>
      </c>
      <c r="AN39" s="549">
        <v>742.0</v>
      </c>
      <c r="AO39" s="550">
        <f t="shared" si="19"/>
        <v>0.5382255178</v>
      </c>
      <c r="AP39" s="549">
        <v>2105.0</v>
      </c>
      <c r="AQ39" s="550">
        <f t="shared" si="20"/>
        <v>0.2168243416</v>
      </c>
      <c r="AR39" s="549">
        <v>848.0</v>
      </c>
      <c r="AS39" s="550">
        <f t="shared" si="21"/>
        <v>0.0784965482</v>
      </c>
      <c r="AT39" s="549">
        <v>307.0</v>
      </c>
      <c r="AU39" s="550">
        <f t="shared" si="22"/>
        <v>0.6428023523</v>
      </c>
      <c r="AV39" s="549">
        <v>2514.0</v>
      </c>
      <c r="AW39" s="555"/>
      <c r="AX39" s="555"/>
      <c r="AY39" s="555"/>
      <c r="AZ39" s="555"/>
      <c r="BA39" s="555"/>
      <c r="BB39" s="555"/>
      <c r="BC39" s="555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</row>
    <row r="100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</row>
    <row r="100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</row>
    <row r="1009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</row>
    <row r="1010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</row>
    <row r="1011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</row>
    <row r="1012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</row>
    <row r="1013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</row>
    <row r="1014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</row>
    <row r="101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</row>
    <row r="1016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</row>
    <row r="1017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</row>
    <row r="1018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</row>
    <row r="1019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</row>
    <row r="1020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</row>
    <row r="1021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</row>
  </sheetData>
  <mergeCells count="3">
    <mergeCell ref="C3:J3"/>
    <mergeCell ref="M3:Y3"/>
    <mergeCell ref="AB3:AV3"/>
  </mergeCells>
  <conditionalFormatting sqref="AE5:AE39">
    <cfRule type="cellIs" dxfId="0" priority="1" operator="lessThanOrEqual">
      <formula>"50%"</formula>
    </cfRule>
  </conditionalFormatting>
  <conditionalFormatting sqref="AG5:AG39">
    <cfRule type="cellIs" dxfId="0" priority="2" operator="lessThanOrEqual">
      <formula>"50%"</formula>
    </cfRule>
  </conditionalFormatting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8.71"/>
    <col customWidth="1" min="3" max="3" width="26.43"/>
    <col customWidth="1" min="4" max="4" width="14.0"/>
    <col customWidth="1" min="5" max="11" width="8.71"/>
    <col customWidth="1" min="12" max="12" width="10.57"/>
    <col customWidth="1" min="13" max="14" width="8.71"/>
    <col customWidth="1" min="15" max="15" width="11.71"/>
    <col customWidth="1" min="16" max="17" width="12.14"/>
    <col customWidth="1" min="18" max="18" width="15.0"/>
    <col customWidth="1" min="19" max="19" width="11.0"/>
    <col customWidth="1" min="20" max="21" width="10.43"/>
    <col customWidth="1" min="22" max="23" width="10.29"/>
    <col customWidth="1" min="24" max="25" width="11.57"/>
    <col customWidth="1" min="26" max="27" width="13.0"/>
    <col customWidth="1" min="28" max="29" width="8.71"/>
    <col customWidth="1" min="30" max="30" width="12.57"/>
    <col customWidth="1" min="31" max="31" width="14.14"/>
    <col customWidth="1" min="32" max="32" width="13.86"/>
    <col customWidth="1" min="33" max="33" width="8.71"/>
  </cols>
  <sheetData>
    <row r="1" ht="14.25" customHeight="1">
      <c r="C1" s="506" t="s">
        <v>888</v>
      </c>
    </row>
    <row r="2" ht="14.25" customHeight="1"/>
    <row r="3" ht="14.25" customHeight="1">
      <c r="A3" s="561" t="s">
        <v>110</v>
      </c>
      <c r="B3" s="561" t="s">
        <v>111</v>
      </c>
      <c r="C3" s="562" t="s">
        <v>112</v>
      </c>
      <c r="D3" s="563"/>
      <c r="E3" s="564" t="s">
        <v>889</v>
      </c>
      <c r="F3" s="20"/>
      <c r="G3" s="21"/>
      <c r="H3" s="564" t="s">
        <v>890</v>
      </c>
      <c r="I3" s="20"/>
      <c r="J3" s="21"/>
      <c r="K3" s="565" t="s">
        <v>461</v>
      </c>
      <c r="L3" s="566"/>
      <c r="M3" s="566"/>
      <c r="N3" s="566"/>
      <c r="O3" s="566"/>
      <c r="P3" s="566"/>
      <c r="Q3" s="566"/>
      <c r="R3" s="566"/>
      <c r="S3" s="566"/>
      <c r="T3" s="566"/>
      <c r="U3" s="566"/>
      <c r="V3" s="566"/>
      <c r="W3" s="566"/>
      <c r="X3" s="566"/>
      <c r="Y3" s="566"/>
      <c r="Z3" s="566"/>
      <c r="AA3" s="566"/>
      <c r="AB3" s="566"/>
      <c r="AC3" s="567"/>
    </row>
    <row r="4" ht="28.5" customHeight="1">
      <c r="A4" s="23"/>
      <c r="B4" s="23"/>
      <c r="C4" s="23"/>
      <c r="D4" s="523" t="s">
        <v>272</v>
      </c>
      <c r="E4" s="380" t="s">
        <v>67</v>
      </c>
      <c r="F4" s="380" t="s">
        <v>284</v>
      </c>
      <c r="G4" s="380" t="s">
        <v>285</v>
      </c>
      <c r="H4" s="380" t="s">
        <v>67</v>
      </c>
      <c r="I4" s="380" t="s">
        <v>335</v>
      </c>
      <c r="J4" s="380" t="s">
        <v>285</v>
      </c>
      <c r="K4" s="380" t="s">
        <v>67</v>
      </c>
      <c r="L4" s="523" t="s">
        <v>336</v>
      </c>
      <c r="M4" s="380" t="s">
        <v>284</v>
      </c>
      <c r="N4" s="380" t="s">
        <v>285</v>
      </c>
      <c r="O4" s="568" t="s">
        <v>286</v>
      </c>
      <c r="P4" s="569" t="s">
        <v>891</v>
      </c>
      <c r="Q4" s="569" t="s">
        <v>38</v>
      </c>
      <c r="R4" s="570" t="s">
        <v>892</v>
      </c>
      <c r="S4" s="570" t="s">
        <v>73</v>
      </c>
      <c r="T4" s="570" t="s">
        <v>893</v>
      </c>
      <c r="U4" s="570" t="s">
        <v>42</v>
      </c>
      <c r="V4" s="570" t="s">
        <v>894</v>
      </c>
      <c r="W4" s="570" t="s">
        <v>74</v>
      </c>
      <c r="X4" s="570" t="s">
        <v>895</v>
      </c>
      <c r="Y4" s="570" t="s">
        <v>75</v>
      </c>
      <c r="Z4" s="570" t="s">
        <v>896</v>
      </c>
      <c r="AA4" s="570" t="s">
        <v>48</v>
      </c>
      <c r="AB4" s="571" t="s">
        <v>897</v>
      </c>
      <c r="AC4" s="230" t="s">
        <v>68</v>
      </c>
      <c r="AD4" s="166"/>
      <c r="AE4" s="166"/>
      <c r="AF4" s="166"/>
    </row>
    <row r="5" ht="14.25" customHeight="1">
      <c r="A5" s="181" t="s">
        <v>146</v>
      </c>
      <c r="B5" s="182">
        <v>853.0</v>
      </c>
      <c r="C5" s="182" t="s">
        <v>147</v>
      </c>
      <c r="D5" s="35">
        <v>5281.0</v>
      </c>
      <c r="E5" s="183">
        <v>3967.0</v>
      </c>
      <c r="F5" s="183">
        <v>1485.0</v>
      </c>
      <c r="G5" s="183">
        <v>2482.0</v>
      </c>
      <c r="H5" s="183">
        <v>215.0</v>
      </c>
      <c r="I5" s="183">
        <v>59.0</v>
      </c>
      <c r="J5" s="183">
        <v>156.0</v>
      </c>
      <c r="K5" s="183">
        <v>1099.0</v>
      </c>
      <c r="L5" s="190">
        <v>0.20810452565801932</v>
      </c>
      <c r="M5" s="183">
        <v>261.0</v>
      </c>
      <c r="N5" s="183">
        <v>838.0</v>
      </c>
      <c r="O5" s="572">
        <v>0.7625113739763422</v>
      </c>
      <c r="P5" s="433">
        <v>0.5250227479526842</v>
      </c>
      <c r="Q5" s="34">
        <v>577.0</v>
      </c>
      <c r="R5" s="425">
        <v>0.01637852593266606</v>
      </c>
      <c r="S5" s="31">
        <v>18.0</v>
      </c>
      <c r="T5" s="426">
        <v>0.0018198362147406734</v>
      </c>
      <c r="U5" s="31">
        <v>2.0</v>
      </c>
      <c r="V5" s="425">
        <v>0.456778889899909</v>
      </c>
      <c r="W5" s="31">
        <v>502.0</v>
      </c>
      <c r="X5" s="573">
        <v>0.0</v>
      </c>
      <c r="Y5" s="427" t="s">
        <v>231</v>
      </c>
      <c r="Z5" s="573">
        <v>0.0</v>
      </c>
      <c r="AA5" s="427" t="s">
        <v>231</v>
      </c>
      <c r="AB5" s="574">
        <v>0.7097361237488626</v>
      </c>
      <c r="AC5" s="36">
        <v>780.0</v>
      </c>
    </row>
    <row r="6" ht="14.25" customHeight="1">
      <c r="A6" s="181" t="s">
        <v>148</v>
      </c>
      <c r="B6" s="182">
        <v>902.0</v>
      </c>
      <c r="C6" s="182" t="s">
        <v>149</v>
      </c>
      <c r="D6" s="35">
        <v>320724.0</v>
      </c>
      <c r="E6" s="183">
        <v>287723.0</v>
      </c>
      <c r="F6" s="183">
        <v>144541.0</v>
      </c>
      <c r="G6" s="183">
        <v>143182.0</v>
      </c>
      <c r="H6" s="183">
        <v>8969.0</v>
      </c>
      <c r="I6" s="183">
        <v>4376.0</v>
      </c>
      <c r="J6" s="183">
        <v>4593.0</v>
      </c>
      <c r="K6" s="183">
        <v>24032.0</v>
      </c>
      <c r="L6" s="190">
        <v>0.07493046981205023</v>
      </c>
      <c r="M6" s="183">
        <v>9760.0</v>
      </c>
      <c r="N6" s="183">
        <v>14272.0</v>
      </c>
      <c r="O6" s="572">
        <v>0.5938748335552596</v>
      </c>
      <c r="P6" s="433">
        <v>0.37162949400798934</v>
      </c>
      <c r="Q6" s="34">
        <v>8931.0</v>
      </c>
      <c r="R6" s="425">
        <v>0.0939164447403462</v>
      </c>
      <c r="S6" s="31">
        <v>2257.0</v>
      </c>
      <c r="T6" s="425">
        <v>0.0213465379494008</v>
      </c>
      <c r="U6" s="31">
        <v>513.0</v>
      </c>
      <c r="V6" s="425">
        <v>0.5058671770972037</v>
      </c>
      <c r="W6" s="31">
        <v>12157.0</v>
      </c>
      <c r="X6" s="575">
        <v>2.496671105193076E-4</v>
      </c>
      <c r="Y6" s="31">
        <v>6.0</v>
      </c>
      <c r="Z6" s="576">
        <v>0.006990679094540613</v>
      </c>
      <c r="AA6" s="31">
        <v>168.0</v>
      </c>
      <c r="AB6" s="574">
        <v>0.6430592543275633</v>
      </c>
      <c r="AC6" s="36">
        <v>15454.0</v>
      </c>
    </row>
    <row r="7" ht="14.25" customHeight="1">
      <c r="A7" s="181" t="s">
        <v>150</v>
      </c>
      <c r="B7" s="182">
        <v>669.0</v>
      </c>
      <c r="C7" s="182" t="s">
        <v>151</v>
      </c>
      <c r="D7" s="35">
        <v>23707.0</v>
      </c>
      <c r="E7" s="183">
        <v>10897.0</v>
      </c>
      <c r="F7" s="183">
        <v>6095.0</v>
      </c>
      <c r="G7" s="183">
        <v>4802.0</v>
      </c>
      <c r="H7" s="183">
        <v>332.0</v>
      </c>
      <c r="I7" s="183">
        <v>145.0</v>
      </c>
      <c r="J7" s="183">
        <v>187.0</v>
      </c>
      <c r="K7" s="183">
        <v>12478.0</v>
      </c>
      <c r="L7" s="190">
        <v>0.5263424305057578</v>
      </c>
      <c r="M7" s="183">
        <v>5965.0</v>
      </c>
      <c r="N7" s="183">
        <v>6513.0</v>
      </c>
      <c r="O7" s="572">
        <v>0.5219586472191057</v>
      </c>
      <c r="P7" s="433">
        <v>0.6735053694502324</v>
      </c>
      <c r="Q7" s="34">
        <v>8404.0</v>
      </c>
      <c r="R7" s="425">
        <v>0.010338195223593525</v>
      </c>
      <c r="S7" s="31">
        <v>129.0</v>
      </c>
      <c r="T7" s="425">
        <v>0.026286263824330823</v>
      </c>
      <c r="U7" s="31">
        <v>328.0</v>
      </c>
      <c r="V7" s="425">
        <v>0.26975476839237056</v>
      </c>
      <c r="W7" s="31">
        <v>3366.0</v>
      </c>
      <c r="X7" s="573">
        <v>0.0</v>
      </c>
      <c r="Y7" s="427" t="s">
        <v>231</v>
      </c>
      <c r="Z7" s="573">
        <v>0.02011540310947267</v>
      </c>
      <c r="AA7" s="31">
        <v>251.0</v>
      </c>
      <c r="AB7" s="574">
        <v>0.8364321205321366</v>
      </c>
      <c r="AC7" s="36">
        <v>10437.0</v>
      </c>
    </row>
    <row r="8" ht="14.25" customHeight="1">
      <c r="A8" s="181" t="s">
        <v>150</v>
      </c>
      <c r="B8" s="182">
        <v>848.0</v>
      </c>
      <c r="C8" s="182" t="s">
        <v>152</v>
      </c>
      <c r="D8" s="35">
        <v>352944.0</v>
      </c>
      <c r="E8" s="183">
        <v>281531.0</v>
      </c>
      <c r="F8" s="183">
        <v>168127.0</v>
      </c>
      <c r="G8" s="183">
        <v>113404.0</v>
      </c>
      <c r="H8" s="183">
        <v>1766.0</v>
      </c>
      <c r="I8" s="183">
        <v>956.0</v>
      </c>
      <c r="J8" s="183">
        <v>810.0</v>
      </c>
      <c r="K8" s="183">
        <v>69647.0</v>
      </c>
      <c r="L8" s="190">
        <v>0.19733158801396256</v>
      </c>
      <c r="M8" s="183">
        <v>39109.0</v>
      </c>
      <c r="N8" s="183">
        <v>30538.0</v>
      </c>
      <c r="O8" s="572">
        <v>0.438468275733341</v>
      </c>
      <c r="P8" s="433">
        <v>0.7575918560742028</v>
      </c>
      <c r="Q8" s="34">
        <v>52764.0</v>
      </c>
      <c r="R8" s="426">
        <v>0.0024695966804026016</v>
      </c>
      <c r="S8" s="31">
        <v>172.0</v>
      </c>
      <c r="T8" s="425">
        <v>0.05797808950852155</v>
      </c>
      <c r="U8" s="31">
        <v>4038.0</v>
      </c>
      <c r="V8" s="425">
        <v>0.15357445403247807</v>
      </c>
      <c r="W8" s="31">
        <v>10696.0</v>
      </c>
      <c r="X8" s="573">
        <v>0.0</v>
      </c>
      <c r="Y8" s="427" t="s">
        <v>231</v>
      </c>
      <c r="Z8" s="573">
        <v>0.02838600370439502</v>
      </c>
      <c r="AA8" s="31">
        <v>1977.0</v>
      </c>
      <c r="AB8" s="574">
        <v>0.9270463910864789</v>
      </c>
      <c r="AC8" s="36">
        <v>64566.0</v>
      </c>
    </row>
    <row r="9" ht="14.25" customHeight="1">
      <c r="A9" s="181" t="s">
        <v>153</v>
      </c>
      <c r="B9" s="182">
        <v>773.0</v>
      </c>
      <c r="C9" s="182" t="s">
        <v>154</v>
      </c>
      <c r="D9" s="35">
        <v>582876.0</v>
      </c>
      <c r="E9" s="183">
        <v>554921.0</v>
      </c>
      <c r="F9" s="183">
        <v>332508.0</v>
      </c>
      <c r="G9" s="183">
        <v>222413.0</v>
      </c>
      <c r="H9" s="183">
        <v>1817.0</v>
      </c>
      <c r="I9" s="183">
        <v>1056.0</v>
      </c>
      <c r="J9" s="183">
        <v>761.0</v>
      </c>
      <c r="K9" s="183">
        <v>26138.0</v>
      </c>
      <c r="L9" s="190">
        <v>0.04484315703511553</v>
      </c>
      <c r="M9" s="183">
        <v>14596.0</v>
      </c>
      <c r="N9" s="183">
        <v>11542.0</v>
      </c>
      <c r="O9" s="572">
        <v>0.4415793098171245</v>
      </c>
      <c r="P9" s="433">
        <v>0.007192593159384804</v>
      </c>
      <c r="Q9" s="34">
        <v>188.0</v>
      </c>
      <c r="R9" s="426">
        <v>0.0030606779401637463</v>
      </c>
      <c r="S9" s="31">
        <v>80.0</v>
      </c>
      <c r="T9" s="426">
        <v>0.0013007881245695923</v>
      </c>
      <c r="U9" s="31">
        <v>34.0</v>
      </c>
      <c r="V9" s="425">
        <v>0.6074297956997475</v>
      </c>
      <c r="W9" s="31">
        <v>15877.0</v>
      </c>
      <c r="X9" s="576">
        <v>0.0030224194659116996</v>
      </c>
      <c r="Y9" s="31">
        <v>79.0</v>
      </c>
      <c r="Z9" s="573">
        <v>0.37799372561022265</v>
      </c>
      <c r="AA9" s="31">
        <v>9880.0</v>
      </c>
      <c r="AB9" s="574">
        <v>0.7433621547172699</v>
      </c>
      <c r="AC9" s="577">
        <v>19430.0</v>
      </c>
    </row>
    <row r="10" ht="14.25" customHeight="1">
      <c r="A10" s="181" t="s">
        <v>155</v>
      </c>
      <c r="B10" s="182">
        <v>927.0</v>
      </c>
      <c r="C10" s="182" t="s">
        <v>156</v>
      </c>
      <c r="D10" s="35">
        <v>9345.0</v>
      </c>
      <c r="E10" s="183">
        <v>6847.0</v>
      </c>
      <c r="F10" s="183">
        <v>1212.0</v>
      </c>
      <c r="G10" s="183">
        <v>5635.0</v>
      </c>
      <c r="H10" s="183">
        <v>223.0</v>
      </c>
      <c r="I10" s="183">
        <v>57.0</v>
      </c>
      <c r="J10" s="183">
        <v>166.0</v>
      </c>
      <c r="K10" s="183">
        <v>2275.0</v>
      </c>
      <c r="L10" s="190">
        <v>0.24344569288389514</v>
      </c>
      <c r="M10" s="183">
        <v>547.0</v>
      </c>
      <c r="N10" s="183">
        <v>1728.0</v>
      </c>
      <c r="O10" s="572">
        <v>0.7595604395604396</v>
      </c>
      <c r="P10" s="433">
        <v>0.712967032967033</v>
      </c>
      <c r="Q10" s="34">
        <v>1622.0</v>
      </c>
      <c r="R10" s="426">
        <v>0.003956043956043956</v>
      </c>
      <c r="S10" s="31">
        <v>9.0</v>
      </c>
      <c r="T10" s="425">
        <v>0.03296703296703297</v>
      </c>
      <c r="U10" s="31">
        <v>75.0</v>
      </c>
      <c r="V10" s="425">
        <v>0.2175824175824176</v>
      </c>
      <c r="W10" s="31">
        <v>495.0</v>
      </c>
      <c r="X10" s="573">
        <v>0.0</v>
      </c>
      <c r="Y10" s="427" t="s">
        <v>231</v>
      </c>
      <c r="Z10" s="573">
        <v>0.032527472527472526</v>
      </c>
      <c r="AA10" s="31">
        <v>74.0</v>
      </c>
      <c r="AB10" s="574">
        <v>0.0</v>
      </c>
      <c r="AC10" s="467">
        <v>0.0</v>
      </c>
    </row>
    <row r="11" ht="14.25" customHeight="1">
      <c r="A11" s="181" t="s">
        <v>146</v>
      </c>
      <c r="B11" s="182">
        <v>843.0</v>
      </c>
      <c r="C11" s="182" t="s">
        <v>157</v>
      </c>
      <c r="D11" s="35">
        <v>260782.0</v>
      </c>
      <c r="E11" s="183">
        <v>234424.0</v>
      </c>
      <c r="F11" s="183">
        <v>127269.0</v>
      </c>
      <c r="G11" s="183">
        <v>107155.0</v>
      </c>
      <c r="H11" s="183">
        <v>4918.0</v>
      </c>
      <c r="I11" s="183">
        <v>1888.0</v>
      </c>
      <c r="J11" s="183">
        <v>3030.0</v>
      </c>
      <c r="K11" s="183">
        <v>21440.0</v>
      </c>
      <c r="L11" s="190">
        <v>0.08221426325436572</v>
      </c>
      <c r="M11" s="183">
        <v>6716.0</v>
      </c>
      <c r="N11" s="183">
        <v>14724.0</v>
      </c>
      <c r="O11" s="572">
        <v>0.6867537313432835</v>
      </c>
      <c r="P11" s="433">
        <v>0.18208955223880596</v>
      </c>
      <c r="Q11" s="34">
        <v>3904.0</v>
      </c>
      <c r="R11" s="425">
        <v>0.011147388059701493</v>
      </c>
      <c r="S11" s="31">
        <v>239.0</v>
      </c>
      <c r="T11" s="425">
        <v>0.014039179104477611</v>
      </c>
      <c r="U11" s="31">
        <v>301.0</v>
      </c>
      <c r="V11" s="425">
        <v>0.7827425373134328</v>
      </c>
      <c r="W11" s="31">
        <v>16782.0</v>
      </c>
      <c r="X11" s="573">
        <v>0.008582089552238806</v>
      </c>
      <c r="Y11" s="31">
        <v>184.0</v>
      </c>
      <c r="Z11" s="576">
        <v>0.0013992537313432835</v>
      </c>
      <c r="AA11" s="31">
        <v>30.0</v>
      </c>
      <c r="AB11" s="574">
        <v>0.5273320895522388</v>
      </c>
      <c r="AC11" s="467">
        <v>11306.0</v>
      </c>
    </row>
    <row r="12" ht="14.25" customHeight="1">
      <c r="A12" s="181" t="s">
        <v>146</v>
      </c>
      <c r="B12" s="182">
        <v>857.0</v>
      </c>
      <c r="C12" s="182" t="s">
        <v>158</v>
      </c>
      <c r="D12" s="35">
        <v>4489.0</v>
      </c>
      <c r="E12" s="183">
        <v>2772.0</v>
      </c>
      <c r="F12" s="183">
        <v>1007.0</v>
      </c>
      <c r="G12" s="183">
        <v>1765.0</v>
      </c>
      <c r="H12" s="183">
        <v>150.0</v>
      </c>
      <c r="I12" s="183">
        <v>58.0</v>
      </c>
      <c r="J12" s="183">
        <v>92.0</v>
      </c>
      <c r="K12" s="183">
        <v>1567.0</v>
      </c>
      <c r="L12" s="190">
        <v>0.34907551793272446</v>
      </c>
      <c r="M12" s="183">
        <v>539.0</v>
      </c>
      <c r="N12" s="183">
        <v>1028.0</v>
      </c>
      <c r="O12" s="572">
        <v>0.6560306317804723</v>
      </c>
      <c r="P12" s="433">
        <v>0.8155711550733886</v>
      </c>
      <c r="Q12" s="34">
        <v>1278.0</v>
      </c>
      <c r="R12" s="425">
        <v>0.01595405232929164</v>
      </c>
      <c r="S12" s="31">
        <v>25.0</v>
      </c>
      <c r="T12" s="426">
        <v>0.003190810465858328</v>
      </c>
      <c r="U12" s="31">
        <v>5.0</v>
      </c>
      <c r="V12" s="425">
        <v>0.1652839821314614</v>
      </c>
      <c r="W12" s="31">
        <v>259.0</v>
      </c>
      <c r="X12" s="573">
        <v>0.0</v>
      </c>
      <c r="Y12" s="31">
        <v>0.0</v>
      </c>
      <c r="Z12" s="573">
        <v>0.0</v>
      </c>
      <c r="AA12" s="427" t="s">
        <v>231</v>
      </c>
      <c r="AB12" s="574">
        <v>0.7874920229738354</v>
      </c>
      <c r="AC12" s="467">
        <v>1234.0</v>
      </c>
    </row>
    <row r="13" ht="14.25" customHeight="1">
      <c r="A13" s="181" t="s">
        <v>159</v>
      </c>
      <c r="B13" s="182">
        <v>899.0</v>
      </c>
      <c r="C13" s="182" t="s">
        <v>160</v>
      </c>
      <c r="D13" s="35">
        <v>151600.0</v>
      </c>
      <c r="E13" s="183">
        <v>115338.0</v>
      </c>
      <c r="F13" s="183">
        <v>32162.0</v>
      </c>
      <c r="G13" s="183">
        <v>83176.0</v>
      </c>
      <c r="H13" s="183">
        <v>20900.0</v>
      </c>
      <c r="I13" s="183">
        <v>5818.0</v>
      </c>
      <c r="J13" s="183">
        <v>15082.0</v>
      </c>
      <c r="K13" s="183">
        <v>15362.0</v>
      </c>
      <c r="L13" s="190">
        <v>0.10133245382585752</v>
      </c>
      <c r="M13" s="183">
        <v>2172.0</v>
      </c>
      <c r="N13" s="183">
        <v>13190.0</v>
      </c>
      <c r="O13" s="572">
        <v>0.8586121598750163</v>
      </c>
      <c r="P13" s="433">
        <v>0.22139044395261034</v>
      </c>
      <c r="Q13" s="34">
        <v>3401.0</v>
      </c>
      <c r="R13" s="426">
        <v>0.004035932821247233</v>
      </c>
      <c r="S13" s="31">
        <v>62.0</v>
      </c>
      <c r="T13" s="426">
        <v>0.004882176799895847</v>
      </c>
      <c r="U13" s="31">
        <v>75.0</v>
      </c>
      <c r="V13" s="425">
        <v>0.7696914464262465</v>
      </c>
      <c r="W13" s="31">
        <v>11824.0</v>
      </c>
      <c r="X13" s="573">
        <v>0.0</v>
      </c>
      <c r="Y13" s="427" t="s">
        <v>231</v>
      </c>
      <c r="Z13" s="573">
        <v>0.0</v>
      </c>
      <c r="AA13" s="427" t="s">
        <v>231</v>
      </c>
      <c r="AB13" s="574">
        <v>0.024085405546152846</v>
      </c>
      <c r="AC13" s="467">
        <v>370.0</v>
      </c>
    </row>
    <row r="14" ht="14.25" customHeight="1">
      <c r="A14" s="181" t="s">
        <v>146</v>
      </c>
      <c r="B14" s="182">
        <v>795.0</v>
      </c>
      <c r="C14" s="182" t="s">
        <v>161</v>
      </c>
      <c r="D14" s="35">
        <v>13836.0</v>
      </c>
      <c r="E14" s="183">
        <v>11842.0</v>
      </c>
      <c r="F14" s="183">
        <v>2353.0</v>
      </c>
      <c r="G14" s="183">
        <v>9489.0</v>
      </c>
      <c r="H14" s="183">
        <v>322.0</v>
      </c>
      <c r="I14" s="183">
        <v>77.0</v>
      </c>
      <c r="J14" s="183">
        <v>245.0</v>
      </c>
      <c r="K14" s="183">
        <v>1672.0</v>
      </c>
      <c r="L14" s="190">
        <v>0.12084417461694132</v>
      </c>
      <c r="M14" s="183">
        <v>267.0</v>
      </c>
      <c r="N14" s="183">
        <v>1405.0</v>
      </c>
      <c r="O14" s="572">
        <v>0.840311004784689</v>
      </c>
      <c r="P14" s="433">
        <v>0.26973684210526316</v>
      </c>
      <c r="Q14" s="34">
        <v>451.0</v>
      </c>
      <c r="R14" s="425">
        <v>0.03648325358851675</v>
      </c>
      <c r="S14" s="31">
        <v>61.0</v>
      </c>
      <c r="T14" s="425">
        <v>0.48564593301435405</v>
      </c>
      <c r="U14" s="31">
        <v>812.0</v>
      </c>
      <c r="V14" s="425">
        <v>0.20813397129186603</v>
      </c>
      <c r="W14" s="31">
        <v>348.0</v>
      </c>
      <c r="X14" s="573">
        <v>0.0</v>
      </c>
      <c r="Y14" s="427" t="s">
        <v>231</v>
      </c>
      <c r="Z14" s="573">
        <v>0.0</v>
      </c>
      <c r="AA14" s="427" t="s">
        <v>231</v>
      </c>
      <c r="AB14" s="574">
        <v>0.638755980861244</v>
      </c>
      <c r="AC14" s="467">
        <v>1068.0</v>
      </c>
    </row>
    <row r="15" ht="14.25" customHeight="1">
      <c r="A15" s="181" t="s">
        <v>155</v>
      </c>
      <c r="B15" s="182">
        <v>903.0</v>
      </c>
      <c r="C15" s="182" t="s">
        <v>162</v>
      </c>
      <c r="D15" s="35">
        <v>378118.0</v>
      </c>
      <c r="E15" s="183">
        <v>344183.0</v>
      </c>
      <c r="F15" s="183">
        <v>162570.0</v>
      </c>
      <c r="G15" s="183">
        <v>181613.0</v>
      </c>
      <c r="H15" s="183">
        <v>1299.0</v>
      </c>
      <c r="I15" s="183">
        <v>547.0</v>
      </c>
      <c r="J15" s="183">
        <v>752.0</v>
      </c>
      <c r="K15" s="183">
        <v>32636.0</v>
      </c>
      <c r="L15" s="190">
        <v>0.0863116804806965</v>
      </c>
      <c r="M15" s="183">
        <v>11272.0</v>
      </c>
      <c r="N15" s="183">
        <v>21364.0</v>
      </c>
      <c r="O15" s="572">
        <v>0.6546145360951097</v>
      </c>
      <c r="P15" s="433">
        <v>0.013972300527025371</v>
      </c>
      <c r="Q15" s="34">
        <v>456.0</v>
      </c>
      <c r="R15" s="425">
        <v>0.029476651550435103</v>
      </c>
      <c r="S15" s="31">
        <v>962.0</v>
      </c>
      <c r="T15" s="425">
        <v>0.012899865179556318</v>
      </c>
      <c r="U15" s="31">
        <v>421.0</v>
      </c>
      <c r="V15" s="425">
        <v>0.9433141316337786</v>
      </c>
      <c r="W15" s="31">
        <v>30786.0</v>
      </c>
      <c r="X15" s="575">
        <v>3.370511092045594E-4</v>
      </c>
      <c r="Y15" s="31">
        <v>11.0</v>
      </c>
      <c r="Z15" s="573">
        <v>0.0</v>
      </c>
      <c r="AA15" s="427" t="s">
        <v>231</v>
      </c>
      <c r="AB15" s="574">
        <v>0.4937185929648241</v>
      </c>
      <c r="AC15" s="467">
        <v>16113.0</v>
      </c>
    </row>
    <row r="16" ht="14.25" customHeight="1">
      <c r="A16" s="181" t="s">
        <v>155</v>
      </c>
      <c r="B16" s="182">
        <v>865.0</v>
      </c>
      <c r="C16" s="182" t="s">
        <v>163</v>
      </c>
      <c r="D16" s="35">
        <v>237594.0</v>
      </c>
      <c r="E16" s="183">
        <v>147921.0</v>
      </c>
      <c r="F16" s="183">
        <v>61720.0</v>
      </c>
      <c r="G16" s="183">
        <v>86201.0</v>
      </c>
      <c r="H16" s="183">
        <v>1528.0</v>
      </c>
      <c r="I16" s="183">
        <v>593.0</v>
      </c>
      <c r="J16" s="183">
        <v>935.0</v>
      </c>
      <c r="K16" s="183">
        <v>88145.0</v>
      </c>
      <c r="L16" s="190">
        <v>0.37099000816518934</v>
      </c>
      <c r="M16" s="183">
        <v>26737.0</v>
      </c>
      <c r="N16" s="183">
        <v>61408.0</v>
      </c>
      <c r="O16" s="572">
        <v>0.6966702592319474</v>
      </c>
      <c r="P16" s="433">
        <v>0.1614045039423677</v>
      </c>
      <c r="Q16" s="34">
        <v>14227.0</v>
      </c>
      <c r="R16" s="426">
        <v>0.001043734755232855</v>
      </c>
      <c r="S16" s="31">
        <v>92.0</v>
      </c>
      <c r="T16" s="426">
        <v>0.0030290997787736115</v>
      </c>
      <c r="U16" s="31">
        <v>267.0</v>
      </c>
      <c r="V16" s="425">
        <v>0.7826989619377163</v>
      </c>
      <c r="W16" s="31">
        <v>68991.0</v>
      </c>
      <c r="X16" s="575">
        <v>1.2479437290827613E-4</v>
      </c>
      <c r="Y16" s="31">
        <v>11.0</v>
      </c>
      <c r="Z16" s="573">
        <v>0.05169890521300131</v>
      </c>
      <c r="AA16" s="31">
        <v>4557.0</v>
      </c>
      <c r="AB16" s="574">
        <v>0.5995802371093085</v>
      </c>
      <c r="AC16" s="467">
        <v>52850.0</v>
      </c>
    </row>
    <row r="17" ht="14.25" customHeight="1">
      <c r="A17" s="181" t="s">
        <v>159</v>
      </c>
      <c r="B17" s="182">
        <v>869.0</v>
      </c>
      <c r="C17" s="182" t="s">
        <v>164</v>
      </c>
      <c r="D17" s="35">
        <v>100137.0</v>
      </c>
      <c r="E17" s="183">
        <v>76092.0</v>
      </c>
      <c r="F17" s="183">
        <v>39898.0</v>
      </c>
      <c r="G17" s="183">
        <v>36194.0</v>
      </c>
      <c r="H17" s="183">
        <v>1582.0</v>
      </c>
      <c r="I17" s="183">
        <v>660.0</v>
      </c>
      <c r="J17" s="183">
        <v>922.0</v>
      </c>
      <c r="K17" s="183">
        <v>22463.0</v>
      </c>
      <c r="L17" s="190">
        <v>0.2243226779312342</v>
      </c>
      <c r="M17" s="183">
        <v>7632.0</v>
      </c>
      <c r="N17" s="183">
        <v>14831.0</v>
      </c>
      <c r="O17" s="572">
        <v>0.660241285669768</v>
      </c>
      <c r="P17" s="433">
        <v>0.395583848996127</v>
      </c>
      <c r="Q17" s="34">
        <v>8886.0</v>
      </c>
      <c r="R17" s="425">
        <v>0.005431153452343854</v>
      </c>
      <c r="S17" s="31">
        <v>122.0</v>
      </c>
      <c r="T17" s="425">
        <v>0.0</v>
      </c>
      <c r="U17" s="427" t="s">
        <v>231</v>
      </c>
      <c r="V17" s="425">
        <v>0.5988069269465343</v>
      </c>
      <c r="W17" s="31">
        <v>13451.0</v>
      </c>
      <c r="X17" s="575">
        <v>1.7807060499488048E-4</v>
      </c>
      <c r="Y17" s="31">
        <v>4.0</v>
      </c>
      <c r="Z17" s="573">
        <v>0.0</v>
      </c>
      <c r="AA17" s="427" t="s">
        <v>231</v>
      </c>
      <c r="AB17" s="574">
        <v>0.8722343409161732</v>
      </c>
      <c r="AC17" s="467">
        <v>19593.0</v>
      </c>
    </row>
    <row r="18" ht="14.25" customHeight="1">
      <c r="A18" s="181" t="s">
        <v>159</v>
      </c>
      <c r="B18" s="182">
        <v>834.0</v>
      </c>
      <c r="C18" s="182" t="s">
        <v>165</v>
      </c>
      <c r="D18" s="35">
        <v>167106.0</v>
      </c>
      <c r="E18" s="183">
        <v>145440.0</v>
      </c>
      <c r="F18" s="183">
        <v>78194.0</v>
      </c>
      <c r="G18" s="183">
        <v>67246.0</v>
      </c>
      <c r="H18" s="183">
        <v>558.0</v>
      </c>
      <c r="I18" s="183">
        <v>265.0</v>
      </c>
      <c r="J18" s="183">
        <v>293.0</v>
      </c>
      <c r="K18" s="183">
        <v>21108.0</v>
      </c>
      <c r="L18" s="190">
        <v>0.1263150335715055</v>
      </c>
      <c r="M18" s="183">
        <v>8320.0</v>
      </c>
      <c r="N18" s="183">
        <v>12788.0</v>
      </c>
      <c r="O18" s="572">
        <v>0.6058366496115217</v>
      </c>
      <c r="P18" s="433">
        <v>0.020181921546333144</v>
      </c>
      <c r="Q18" s="34">
        <v>426.0</v>
      </c>
      <c r="R18" s="425">
        <v>0.009427705135493653</v>
      </c>
      <c r="S18" s="31">
        <v>199.0</v>
      </c>
      <c r="T18" s="426">
        <v>6.158802349819974E-4</v>
      </c>
      <c r="U18" s="31">
        <v>13.0</v>
      </c>
      <c r="V18" s="425">
        <v>0.957646389994315</v>
      </c>
      <c r="W18" s="31">
        <v>20214.0</v>
      </c>
      <c r="X18" s="573">
        <v>0.008622323289747963</v>
      </c>
      <c r="Y18" s="31">
        <v>182.0</v>
      </c>
      <c r="Z18" s="576">
        <v>0.0035057797991282927</v>
      </c>
      <c r="AA18" s="31">
        <v>74.0</v>
      </c>
      <c r="AB18" s="574">
        <v>0.7387720295622513</v>
      </c>
      <c r="AC18" s="467">
        <v>15594.0</v>
      </c>
    </row>
    <row r="19" ht="14.25" customHeight="1">
      <c r="A19" s="181" t="s">
        <v>153</v>
      </c>
      <c r="B19" s="182">
        <v>841.0</v>
      </c>
      <c r="C19" s="182" t="s">
        <v>166</v>
      </c>
      <c r="D19" s="35">
        <v>210418.0</v>
      </c>
      <c r="E19" s="183">
        <v>125172.0</v>
      </c>
      <c r="F19" s="183">
        <v>69789.0</v>
      </c>
      <c r="G19" s="183">
        <v>55383.0</v>
      </c>
      <c r="H19" s="183">
        <v>3799.0</v>
      </c>
      <c r="I19" s="183">
        <v>1653.0</v>
      </c>
      <c r="J19" s="183">
        <v>2146.0</v>
      </c>
      <c r="K19" s="183">
        <v>81447.0</v>
      </c>
      <c r="L19" s="190">
        <v>0.38707239874915644</v>
      </c>
      <c r="M19" s="183">
        <v>55855.0</v>
      </c>
      <c r="N19" s="183">
        <v>25592.0</v>
      </c>
      <c r="O19" s="572">
        <v>0.3142166071187398</v>
      </c>
      <c r="P19" s="433">
        <v>0.7719744128083293</v>
      </c>
      <c r="Q19" s="34">
        <v>62875.0</v>
      </c>
      <c r="R19" s="425">
        <v>0.008226208454577824</v>
      </c>
      <c r="S19" s="31">
        <v>670.0</v>
      </c>
      <c r="T19" s="425">
        <v>0.007121195378589758</v>
      </c>
      <c r="U19" s="31">
        <v>580.0</v>
      </c>
      <c r="V19" s="425">
        <v>0.05024126118825739</v>
      </c>
      <c r="W19" s="31">
        <v>4092.0</v>
      </c>
      <c r="X19" s="575">
        <v>2.823922305302835E-4</v>
      </c>
      <c r="Y19" s="31">
        <v>23.0</v>
      </c>
      <c r="Z19" s="573">
        <v>0.1621545299397154</v>
      </c>
      <c r="AA19" s="31">
        <v>13207.0</v>
      </c>
      <c r="AB19" s="574">
        <v>0.9162645646862376</v>
      </c>
      <c r="AC19" s="467">
        <v>74627.0</v>
      </c>
    </row>
    <row r="20" ht="14.25" customHeight="1">
      <c r="A20" s="181" t="s">
        <v>159</v>
      </c>
      <c r="B20" s="182">
        <v>862.0</v>
      </c>
      <c r="C20" s="182" t="s">
        <v>167</v>
      </c>
      <c r="D20" s="35">
        <v>431386.0</v>
      </c>
      <c r="E20" s="183">
        <v>412758.0</v>
      </c>
      <c r="F20" s="183">
        <v>173091.0</v>
      </c>
      <c r="G20" s="183">
        <v>239667.0</v>
      </c>
      <c r="H20" s="183">
        <v>6905.0</v>
      </c>
      <c r="I20" s="183">
        <v>3241.0</v>
      </c>
      <c r="J20" s="183">
        <v>3664.0</v>
      </c>
      <c r="K20" s="183">
        <v>11723.0</v>
      </c>
      <c r="L20" s="190">
        <v>0.027175198082459794</v>
      </c>
      <c r="M20" s="183">
        <v>3850.0</v>
      </c>
      <c r="N20" s="183">
        <v>7873.0</v>
      </c>
      <c r="O20" s="572">
        <v>0.6715857715601808</v>
      </c>
      <c r="P20" s="433">
        <v>0.05502004606329438</v>
      </c>
      <c r="Q20" s="34">
        <v>645.0</v>
      </c>
      <c r="R20" s="425">
        <v>0.10125394523586113</v>
      </c>
      <c r="S20" s="31">
        <v>1187.0</v>
      </c>
      <c r="T20" s="425">
        <v>0.1282095026870255</v>
      </c>
      <c r="U20" s="31">
        <v>1503.0</v>
      </c>
      <c r="V20" s="425">
        <v>0.7148340868378401</v>
      </c>
      <c r="W20" s="31">
        <v>8380.0</v>
      </c>
      <c r="X20" s="575">
        <v>4.2651198498677815E-4</v>
      </c>
      <c r="Y20" s="31">
        <v>5.0</v>
      </c>
      <c r="Z20" s="575">
        <v>2.559071909920669E-4</v>
      </c>
      <c r="AA20" s="31">
        <v>3.0</v>
      </c>
      <c r="AB20" s="574">
        <v>0.4296681736756803</v>
      </c>
      <c r="AC20" s="467">
        <v>5037.0</v>
      </c>
    </row>
    <row r="21" ht="14.25" customHeight="1">
      <c r="A21" s="181" t="s">
        <v>148</v>
      </c>
      <c r="B21" s="182">
        <v>928.0</v>
      </c>
      <c r="C21" s="182" t="s">
        <v>168</v>
      </c>
      <c r="D21" s="35">
        <v>268473.0</v>
      </c>
      <c r="E21" s="183">
        <v>254670.0</v>
      </c>
      <c r="F21" s="183">
        <v>53735.0</v>
      </c>
      <c r="G21" s="183">
        <v>200935.0</v>
      </c>
      <c r="H21" s="183">
        <v>1862.0</v>
      </c>
      <c r="I21" s="183">
        <v>294.0</v>
      </c>
      <c r="J21" s="183">
        <v>1568.0</v>
      </c>
      <c r="K21" s="183">
        <v>11941.0</v>
      </c>
      <c r="L21" s="190">
        <v>0.04447747073262488</v>
      </c>
      <c r="M21" s="183">
        <v>1159.0</v>
      </c>
      <c r="N21" s="183">
        <v>10782.0</v>
      </c>
      <c r="O21" s="572">
        <v>0.902939452307177</v>
      </c>
      <c r="P21" s="433">
        <v>0.3678921363369902</v>
      </c>
      <c r="Q21" s="34">
        <v>4393.0</v>
      </c>
      <c r="R21" s="425">
        <v>0.023783602713340592</v>
      </c>
      <c r="S21" s="31">
        <v>284.0</v>
      </c>
      <c r="T21" s="425">
        <v>0.4358931412779499</v>
      </c>
      <c r="U21" s="31">
        <v>5205.0</v>
      </c>
      <c r="V21" s="425">
        <v>0.15459341763671383</v>
      </c>
      <c r="W21" s="31">
        <v>1846.0</v>
      </c>
      <c r="X21" s="575">
        <v>5.862155598358596E-4</v>
      </c>
      <c r="Y21" s="31">
        <v>7.0</v>
      </c>
      <c r="Z21" s="573">
        <v>0.017251486475169584</v>
      </c>
      <c r="AA21" s="31">
        <v>206.0</v>
      </c>
      <c r="AB21" s="574">
        <v>0.7544594255087513</v>
      </c>
      <c r="AC21" s="467">
        <v>9009.0</v>
      </c>
    </row>
    <row r="22" ht="14.25" customHeight="1">
      <c r="A22" s="181" t="s">
        <v>148</v>
      </c>
      <c r="B22" s="182">
        <v>844.0</v>
      </c>
      <c r="C22" s="182" t="s">
        <v>169</v>
      </c>
      <c r="D22" s="35">
        <v>6155.0</v>
      </c>
      <c r="E22" s="183">
        <v>5465.0</v>
      </c>
      <c r="F22" s="183">
        <v>2687.0</v>
      </c>
      <c r="G22" s="183">
        <v>2778.0</v>
      </c>
      <c r="H22" s="183">
        <v>2.0</v>
      </c>
      <c r="I22" s="183">
        <v>1.0</v>
      </c>
      <c r="J22" s="183">
        <v>1.0</v>
      </c>
      <c r="K22" s="183">
        <v>688.0</v>
      </c>
      <c r="L22" s="190">
        <v>0.11177904142973193</v>
      </c>
      <c r="M22" s="183">
        <v>345.0</v>
      </c>
      <c r="N22" s="183">
        <v>343.0</v>
      </c>
      <c r="O22" s="572">
        <v>0.498546511627907</v>
      </c>
      <c r="P22" s="433">
        <v>0.11918604651162791</v>
      </c>
      <c r="Q22" s="34">
        <v>82.0</v>
      </c>
      <c r="R22" s="425">
        <v>0.030523255813953487</v>
      </c>
      <c r="S22" s="31">
        <v>21.0</v>
      </c>
      <c r="T22" s="425">
        <v>0.03197674418604651</v>
      </c>
      <c r="U22" s="31">
        <v>22.0</v>
      </c>
      <c r="V22" s="425">
        <v>0.8183139534883721</v>
      </c>
      <c r="W22" s="31">
        <v>563.0</v>
      </c>
      <c r="X22" s="573">
        <v>0.0</v>
      </c>
      <c r="Y22" s="427" t="s">
        <v>231</v>
      </c>
      <c r="Z22" s="573">
        <v>0.0</v>
      </c>
      <c r="AA22" s="427" t="s">
        <v>231</v>
      </c>
      <c r="AB22" s="574">
        <v>0.813953488372093</v>
      </c>
      <c r="AC22" s="467">
        <v>560.0</v>
      </c>
    </row>
    <row r="23" ht="14.25" customHeight="1">
      <c r="A23" s="181" t="s">
        <v>146</v>
      </c>
      <c r="B23" s="182">
        <v>851.0</v>
      </c>
      <c r="C23" s="182" t="s">
        <v>170</v>
      </c>
      <c r="D23" s="35">
        <v>806.0</v>
      </c>
      <c r="E23" s="183">
        <v>806.0</v>
      </c>
      <c r="F23" s="183">
        <v>383.0</v>
      </c>
      <c r="G23" s="183">
        <v>423.0</v>
      </c>
      <c r="H23" s="183">
        <v>0.0</v>
      </c>
      <c r="I23" s="183">
        <v>0.0</v>
      </c>
      <c r="J23" s="183">
        <v>0.0</v>
      </c>
      <c r="K23" s="183">
        <v>0.0</v>
      </c>
      <c r="L23" s="190">
        <v>0.0</v>
      </c>
      <c r="M23" s="183">
        <v>0.0</v>
      </c>
      <c r="N23" s="183">
        <v>0.0</v>
      </c>
      <c r="O23" s="578">
        <v>0.0</v>
      </c>
      <c r="P23" s="433">
        <v>0.0</v>
      </c>
      <c r="Q23" s="34">
        <v>0.0</v>
      </c>
      <c r="R23" s="425">
        <v>0.0</v>
      </c>
      <c r="S23" s="31">
        <v>0.0</v>
      </c>
      <c r="T23" s="425">
        <v>0.0</v>
      </c>
      <c r="U23" s="427" t="s">
        <v>231</v>
      </c>
      <c r="V23" s="425">
        <v>0.0</v>
      </c>
      <c r="W23" s="427" t="s">
        <v>231</v>
      </c>
      <c r="X23" s="573">
        <v>0.0</v>
      </c>
      <c r="Y23" s="427" t="s">
        <v>231</v>
      </c>
      <c r="Z23" s="573">
        <v>0.0</v>
      </c>
      <c r="AA23" s="427" t="s">
        <v>231</v>
      </c>
      <c r="AB23" s="574">
        <v>0.0</v>
      </c>
      <c r="AC23" s="467">
        <v>0.0</v>
      </c>
    </row>
    <row r="24" ht="14.25" customHeight="1">
      <c r="A24" s="181" t="s">
        <v>155</v>
      </c>
      <c r="B24" s="182">
        <v>771.0</v>
      </c>
      <c r="C24" s="182" t="s">
        <v>171</v>
      </c>
      <c r="D24" s="35">
        <v>601208.0</v>
      </c>
      <c r="E24" s="183">
        <v>571295.0</v>
      </c>
      <c r="F24" s="183">
        <v>306538.0</v>
      </c>
      <c r="G24" s="183">
        <v>264757.0</v>
      </c>
      <c r="H24" s="183">
        <v>5264.0</v>
      </c>
      <c r="I24" s="183">
        <v>2087.0</v>
      </c>
      <c r="J24" s="183">
        <v>3177.0</v>
      </c>
      <c r="K24" s="183">
        <v>24649.0</v>
      </c>
      <c r="L24" s="190">
        <v>0.04099912176817341</v>
      </c>
      <c r="M24" s="183">
        <v>9356.0</v>
      </c>
      <c r="N24" s="183">
        <v>15293.0</v>
      </c>
      <c r="O24" s="572">
        <v>0.6204308491216682</v>
      </c>
      <c r="P24" s="433">
        <v>0.009412146537384885</v>
      </c>
      <c r="Q24" s="34">
        <v>232.0</v>
      </c>
      <c r="R24" s="425">
        <v>0.009614994523104386</v>
      </c>
      <c r="S24" s="31">
        <v>237.0</v>
      </c>
      <c r="T24" s="425">
        <v>0.025558846200657227</v>
      </c>
      <c r="U24" s="31">
        <v>630.0</v>
      </c>
      <c r="V24" s="425">
        <v>0.9452310438557345</v>
      </c>
      <c r="W24" s="31">
        <v>23299.0</v>
      </c>
      <c r="X24" s="573">
        <v>0.009939551300255589</v>
      </c>
      <c r="Y24" s="31">
        <v>245.0</v>
      </c>
      <c r="Z24" s="575">
        <v>2.4341758286340216E-4</v>
      </c>
      <c r="AA24" s="31">
        <v>6.0</v>
      </c>
      <c r="AB24" s="574">
        <v>0.5001825631871476</v>
      </c>
      <c r="AC24" s="467">
        <v>12329.0</v>
      </c>
    </row>
    <row r="25" ht="14.25" customHeight="1">
      <c r="A25" s="181" t="s">
        <v>150</v>
      </c>
      <c r="B25" s="182">
        <v>928.0</v>
      </c>
      <c r="C25" s="182" t="s">
        <v>172</v>
      </c>
      <c r="D25" s="35">
        <v>748589.0</v>
      </c>
      <c r="E25" s="183">
        <v>682631.0</v>
      </c>
      <c r="F25" s="183">
        <v>366366.0</v>
      </c>
      <c r="G25" s="183">
        <v>316265.0</v>
      </c>
      <c r="H25" s="183">
        <v>3567.0</v>
      </c>
      <c r="I25" s="183">
        <v>1707.0</v>
      </c>
      <c r="J25" s="183">
        <v>1860.0</v>
      </c>
      <c r="K25" s="183">
        <v>62391.0</v>
      </c>
      <c r="L25" s="190">
        <v>0.08334479934917559</v>
      </c>
      <c r="M25" s="183">
        <v>18123.0</v>
      </c>
      <c r="N25" s="183">
        <v>44268.0</v>
      </c>
      <c r="O25" s="572">
        <v>0.7095254123190845</v>
      </c>
      <c r="P25" s="433">
        <v>0.03793816415829206</v>
      </c>
      <c r="Q25" s="34">
        <v>2367.0</v>
      </c>
      <c r="R25" s="425">
        <v>0.024506739754131205</v>
      </c>
      <c r="S25" s="31">
        <v>1529.0</v>
      </c>
      <c r="T25" s="425">
        <v>0.13335256687663286</v>
      </c>
      <c r="U25" s="31">
        <v>8320.0</v>
      </c>
      <c r="V25" s="425">
        <v>0.7899857351220528</v>
      </c>
      <c r="W25" s="31">
        <v>49288.0</v>
      </c>
      <c r="X25" s="575">
        <v>0.0011540125979708612</v>
      </c>
      <c r="Y25" s="31">
        <v>72.0</v>
      </c>
      <c r="Z25" s="573">
        <v>0.013062781490920165</v>
      </c>
      <c r="AA25" s="31">
        <v>815.0</v>
      </c>
      <c r="AB25" s="574">
        <v>0.4486865092721707</v>
      </c>
      <c r="AC25" s="467">
        <v>27994.0</v>
      </c>
    </row>
    <row r="26" ht="14.25" customHeight="1">
      <c r="A26" s="181" t="s">
        <v>150</v>
      </c>
      <c r="B26" s="182">
        <v>741.0</v>
      </c>
      <c r="C26" s="182" t="s">
        <v>173</v>
      </c>
      <c r="D26" s="35">
        <v>42684.0</v>
      </c>
      <c r="E26" s="183">
        <v>27528.0</v>
      </c>
      <c r="F26" s="183">
        <v>12915.0</v>
      </c>
      <c r="G26" s="183">
        <v>14613.0</v>
      </c>
      <c r="H26" s="183">
        <v>425.0</v>
      </c>
      <c r="I26" s="183">
        <v>198.0</v>
      </c>
      <c r="J26" s="183">
        <v>227.0</v>
      </c>
      <c r="K26" s="183">
        <v>14731.0</v>
      </c>
      <c r="L26" s="190">
        <v>0.3451176084715584</v>
      </c>
      <c r="M26" s="183">
        <v>6391.0</v>
      </c>
      <c r="N26" s="183">
        <v>8340.0</v>
      </c>
      <c r="O26" s="572">
        <v>0.5661530106577964</v>
      </c>
      <c r="P26" s="433">
        <v>0.07772724187088453</v>
      </c>
      <c r="Q26" s="34">
        <v>1145.0</v>
      </c>
      <c r="R26" s="426">
        <v>0.004955535944606612</v>
      </c>
      <c r="S26" s="31">
        <v>73.0</v>
      </c>
      <c r="T26" s="425">
        <v>0.06394677890163601</v>
      </c>
      <c r="U26" s="31">
        <v>942.0</v>
      </c>
      <c r="V26" s="425">
        <v>0.7953295770823433</v>
      </c>
      <c r="W26" s="31">
        <v>11716.0</v>
      </c>
      <c r="X26" s="573">
        <v>0.005159188106713733</v>
      </c>
      <c r="Y26" s="31">
        <v>76.0</v>
      </c>
      <c r="Z26" s="573">
        <v>0.05288167809381576</v>
      </c>
      <c r="AA26" s="31">
        <v>779.0</v>
      </c>
      <c r="AB26" s="574">
        <v>0.7519516665535266</v>
      </c>
      <c r="AC26" s="467">
        <v>11077.0</v>
      </c>
    </row>
    <row r="27" ht="14.25" customHeight="1">
      <c r="A27" s="181" t="s">
        <v>155</v>
      </c>
      <c r="B27" s="182">
        <v>716.0</v>
      </c>
      <c r="C27" s="182" t="s">
        <v>174</v>
      </c>
      <c r="D27" s="35">
        <v>55160.0</v>
      </c>
      <c r="E27" s="183">
        <v>27671.0</v>
      </c>
      <c r="F27" s="183">
        <v>11627.0</v>
      </c>
      <c r="G27" s="183">
        <v>16044.0</v>
      </c>
      <c r="H27" s="183">
        <v>557.0</v>
      </c>
      <c r="I27" s="183">
        <v>202.0</v>
      </c>
      <c r="J27" s="183">
        <v>355.0</v>
      </c>
      <c r="K27" s="183">
        <v>26932.0</v>
      </c>
      <c r="L27" s="190">
        <v>0.48825235678027556</v>
      </c>
      <c r="M27" s="183">
        <v>11104.0</v>
      </c>
      <c r="N27" s="183">
        <v>15828.0</v>
      </c>
      <c r="O27" s="572">
        <v>0.5877023615030447</v>
      </c>
      <c r="P27" s="433">
        <v>0.576711718401901</v>
      </c>
      <c r="Q27" s="34">
        <v>15532.0</v>
      </c>
      <c r="R27" s="426">
        <v>6.312193672954107E-4</v>
      </c>
      <c r="S27" s="31">
        <v>17.0</v>
      </c>
      <c r="T27" s="425">
        <v>0.16278033566018119</v>
      </c>
      <c r="U27" s="31">
        <v>4384.0</v>
      </c>
      <c r="V27" s="425">
        <v>0.2232660032674885</v>
      </c>
      <c r="W27" s="31">
        <v>6013.0</v>
      </c>
      <c r="X27" s="573">
        <v>0.0</v>
      </c>
      <c r="Y27" s="427" t="s">
        <v>231</v>
      </c>
      <c r="Z27" s="573">
        <v>0.03661072330313382</v>
      </c>
      <c r="AA27" s="31">
        <v>986.0</v>
      </c>
      <c r="AB27" s="574">
        <v>0.9089558889053914</v>
      </c>
      <c r="AC27" s="467">
        <v>24480.0</v>
      </c>
    </row>
    <row r="28" ht="14.25" customHeight="1">
      <c r="A28" s="181" t="s">
        <v>150</v>
      </c>
      <c r="B28" s="182">
        <v>765.0</v>
      </c>
      <c r="C28" s="182" t="s">
        <v>175</v>
      </c>
      <c r="D28" s="35">
        <v>23366.0</v>
      </c>
      <c r="E28" s="183">
        <v>8436.0</v>
      </c>
      <c r="F28" s="183">
        <v>4982.0</v>
      </c>
      <c r="G28" s="183">
        <v>3454.0</v>
      </c>
      <c r="H28" s="183">
        <v>879.0</v>
      </c>
      <c r="I28" s="183">
        <v>464.0</v>
      </c>
      <c r="J28" s="183">
        <v>415.0</v>
      </c>
      <c r="K28" s="183">
        <v>14051.0</v>
      </c>
      <c r="L28" s="190">
        <v>0.6013438329196268</v>
      </c>
      <c r="M28" s="183">
        <v>6910.0</v>
      </c>
      <c r="N28" s="183">
        <v>7141.0</v>
      </c>
      <c r="O28" s="572">
        <v>0.5082200555120632</v>
      </c>
      <c r="P28" s="433">
        <v>0.3502953526439399</v>
      </c>
      <c r="Q28" s="34">
        <v>4922.0</v>
      </c>
      <c r="R28" s="425">
        <v>0.006547576684933457</v>
      </c>
      <c r="S28" s="31">
        <v>92.0</v>
      </c>
      <c r="T28" s="425">
        <v>0.09351647569568003</v>
      </c>
      <c r="U28" s="31">
        <v>1314.0</v>
      </c>
      <c r="V28" s="425">
        <v>0.5112803359191517</v>
      </c>
      <c r="W28" s="31">
        <v>7184.0</v>
      </c>
      <c r="X28" s="573">
        <v>0.0</v>
      </c>
      <c r="Y28" s="427" t="s">
        <v>231</v>
      </c>
      <c r="Z28" s="573">
        <v>0.03836025905629493</v>
      </c>
      <c r="AA28" s="31">
        <v>539.0</v>
      </c>
      <c r="AB28" s="574">
        <v>0.5678599387943919</v>
      </c>
      <c r="AC28" s="467">
        <v>7979.0</v>
      </c>
    </row>
    <row r="29" ht="14.25" customHeight="1">
      <c r="A29" s="181" t="s">
        <v>150</v>
      </c>
      <c r="B29" s="182">
        <v>728.0</v>
      </c>
      <c r="C29" s="182" t="s">
        <v>176</v>
      </c>
      <c r="D29" s="35">
        <v>31402.0</v>
      </c>
      <c r="E29" s="183">
        <v>25721.0</v>
      </c>
      <c r="F29" s="183">
        <v>11466.0</v>
      </c>
      <c r="G29" s="183">
        <v>14255.0</v>
      </c>
      <c r="H29" s="183">
        <v>84.0</v>
      </c>
      <c r="I29" s="183">
        <v>43.0</v>
      </c>
      <c r="J29" s="183">
        <v>41.0</v>
      </c>
      <c r="K29" s="183">
        <v>5597.0</v>
      </c>
      <c r="L29" s="190">
        <v>0.17823705496465192</v>
      </c>
      <c r="M29" s="183">
        <v>2445.0</v>
      </c>
      <c r="N29" s="183">
        <v>3152.0</v>
      </c>
      <c r="O29" s="572">
        <v>0.5631588350902269</v>
      </c>
      <c r="P29" s="433">
        <v>0.4221904591745578</v>
      </c>
      <c r="Q29" s="34">
        <v>2363.0</v>
      </c>
      <c r="R29" s="425">
        <v>0.01089869572985528</v>
      </c>
      <c r="S29" s="31">
        <v>61.0</v>
      </c>
      <c r="T29" s="425">
        <v>0.0</v>
      </c>
      <c r="U29" s="427" t="s">
        <v>231</v>
      </c>
      <c r="V29" s="425">
        <v>0.5663748436662498</v>
      </c>
      <c r="W29" s="31">
        <v>3170.0</v>
      </c>
      <c r="X29" s="573">
        <v>0.0</v>
      </c>
      <c r="Y29" s="427" t="s">
        <v>231</v>
      </c>
      <c r="Z29" s="576">
        <v>5.360014293371449E-4</v>
      </c>
      <c r="AA29" s="31">
        <v>3.0</v>
      </c>
      <c r="AB29" s="574">
        <v>0.6678577809540825</v>
      </c>
      <c r="AC29" s="467">
        <v>3738.0</v>
      </c>
    </row>
    <row r="30" ht="14.25" customHeight="1">
      <c r="A30" s="181" t="s">
        <v>153</v>
      </c>
      <c r="B30" s="182">
        <v>877.0</v>
      </c>
      <c r="C30" s="182" t="s">
        <v>177</v>
      </c>
      <c r="D30" s="35">
        <v>331336.0</v>
      </c>
      <c r="E30" s="183">
        <v>269924.0</v>
      </c>
      <c r="F30" s="183">
        <v>147997.0</v>
      </c>
      <c r="G30" s="183">
        <v>121927.0</v>
      </c>
      <c r="H30" s="183">
        <v>6287.0</v>
      </c>
      <c r="I30" s="183">
        <v>3989.0</v>
      </c>
      <c r="J30" s="183">
        <v>2298.0</v>
      </c>
      <c r="K30" s="183">
        <v>55125.0</v>
      </c>
      <c r="L30" s="190">
        <v>0.16637190042736075</v>
      </c>
      <c r="M30" s="183">
        <v>25456.0</v>
      </c>
      <c r="N30" s="183">
        <v>29669.0</v>
      </c>
      <c r="O30" s="572">
        <v>0.5382131519274377</v>
      </c>
      <c r="P30" s="433">
        <v>0.5633378684807256</v>
      </c>
      <c r="Q30" s="34">
        <v>31054.0</v>
      </c>
      <c r="R30" s="425">
        <v>0.05917460317460317</v>
      </c>
      <c r="S30" s="31">
        <v>3262.0</v>
      </c>
      <c r="T30" s="425">
        <v>0.027664399092970523</v>
      </c>
      <c r="U30" s="31">
        <v>1525.0</v>
      </c>
      <c r="V30" s="425">
        <v>0.31178231292517006</v>
      </c>
      <c r="W30" s="31">
        <v>17187.0</v>
      </c>
      <c r="X30" s="575">
        <v>3.0839002267573696E-4</v>
      </c>
      <c r="Y30" s="31">
        <v>17.0</v>
      </c>
      <c r="Z30" s="573">
        <v>0.03773242630385488</v>
      </c>
      <c r="AA30" s="31">
        <v>2080.0</v>
      </c>
      <c r="AB30" s="574">
        <v>0.8612789115646259</v>
      </c>
      <c r="AC30" s="467">
        <v>47478.0</v>
      </c>
    </row>
    <row r="31" ht="14.25" customHeight="1">
      <c r="A31" s="181" t="s">
        <v>159</v>
      </c>
      <c r="B31" s="182">
        <v>897.0</v>
      </c>
      <c r="C31" s="182" t="s">
        <v>178</v>
      </c>
      <c r="D31" s="35">
        <v>12355.0</v>
      </c>
      <c r="E31" s="183">
        <v>11395.0</v>
      </c>
      <c r="F31" s="183">
        <v>2882.0</v>
      </c>
      <c r="G31" s="183">
        <v>8513.0</v>
      </c>
      <c r="H31" s="183">
        <v>158.0</v>
      </c>
      <c r="I31" s="183">
        <v>47.0</v>
      </c>
      <c r="J31" s="183">
        <v>111.0</v>
      </c>
      <c r="K31" s="183">
        <v>802.0</v>
      </c>
      <c r="L31" s="190">
        <v>0.06491299069202752</v>
      </c>
      <c r="M31" s="183">
        <v>152.0</v>
      </c>
      <c r="N31" s="183">
        <v>650.0</v>
      </c>
      <c r="O31" s="572">
        <v>0.8104738154613467</v>
      </c>
      <c r="P31" s="433">
        <v>0.20199501246882792</v>
      </c>
      <c r="Q31" s="34">
        <v>162.0</v>
      </c>
      <c r="R31" s="425">
        <v>0.05236907730673317</v>
      </c>
      <c r="S31" s="31">
        <v>42.0</v>
      </c>
      <c r="T31" s="425">
        <v>0.23690773067331672</v>
      </c>
      <c r="U31" s="31">
        <v>190.0</v>
      </c>
      <c r="V31" s="425">
        <v>0.5087281795511222</v>
      </c>
      <c r="W31" s="31">
        <v>408.0</v>
      </c>
      <c r="X31" s="573">
        <v>0.0</v>
      </c>
      <c r="Y31" s="427" t="s">
        <v>231</v>
      </c>
      <c r="Z31" s="573">
        <v>0.0</v>
      </c>
      <c r="AA31" s="427" t="s">
        <v>231</v>
      </c>
      <c r="AB31" s="574">
        <v>0.527431421446384</v>
      </c>
      <c r="AC31" s="467">
        <v>423.0</v>
      </c>
    </row>
    <row r="32" ht="14.25" customHeight="1">
      <c r="A32" s="181" t="s">
        <v>148</v>
      </c>
      <c r="B32" s="182">
        <v>928.0</v>
      </c>
      <c r="C32" s="182" t="s">
        <v>179</v>
      </c>
      <c r="D32" s="35">
        <v>257134.0</v>
      </c>
      <c r="E32" s="183">
        <v>193598.0</v>
      </c>
      <c r="F32" s="183">
        <v>52993.0</v>
      </c>
      <c r="G32" s="183">
        <v>140605.0</v>
      </c>
      <c r="H32" s="183">
        <v>539.0</v>
      </c>
      <c r="I32" s="183">
        <v>115.0</v>
      </c>
      <c r="J32" s="183">
        <v>424.0</v>
      </c>
      <c r="K32" s="183">
        <v>62997.0</v>
      </c>
      <c r="L32" s="190">
        <v>0.24499677211103937</v>
      </c>
      <c r="M32" s="183">
        <v>10593.0</v>
      </c>
      <c r="N32" s="183">
        <v>52404.0</v>
      </c>
      <c r="O32" s="572">
        <v>0.8318491356731272</v>
      </c>
      <c r="P32" s="433">
        <v>0.25298030064923727</v>
      </c>
      <c r="Q32" s="34">
        <v>15937.0</v>
      </c>
      <c r="R32" s="425">
        <v>0.006032033271425623</v>
      </c>
      <c r="S32" s="31">
        <v>380.0</v>
      </c>
      <c r="T32" s="425">
        <v>0.035620743844945</v>
      </c>
      <c r="U32" s="31">
        <v>2244.0</v>
      </c>
      <c r="V32" s="425">
        <v>0.7052081845167231</v>
      </c>
      <c r="W32" s="31">
        <v>44426.0</v>
      </c>
      <c r="X32" s="575">
        <v>1.5873771766909534E-4</v>
      </c>
      <c r="Y32" s="31">
        <v>10.0</v>
      </c>
      <c r="Z32" s="573">
        <v>0.0</v>
      </c>
      <c r="AA32" s="427" t="s">
        <v>231</v>
      </c>
      <c r="AB32" s="574">
        <v>0.5821388320078734</v>
      </c>
      <c r="AC32" s="467">
        <v>36673.0</v>
      </c>
    </row>
    <row r="33" ht="14.25" customHeight="1">
      <c r="A33" s="181" t="s">
        <v>155</v>
      </c>
      <c r="B33" s="182">
        <v>903.0</v>
      </c>
      <c r="C33" s="182" t="s">
        <v>180</v>
      </c>
      <c r="D33" s="35">
        <v>724525.0</v>
      </c>
      <c r="E33" s="183">
        <v>662915.0</v>
      </c>
      <c r="F33" s="183">
        <v>403853.0</v>
      </c>
      <c r="G33" s="183">
        <v>259062.0</v>
      </c>
      <c r="H33" s="183">
        <v>6663.0</v>
      </c>
      <c r="I33" s="183">
        <v>4288.0</v>
      </c>
      <c r="J33" s="183">
        <v>2375.0</v>
      </c>
      <c r="K33" s="183">
        <v>54947.0</v>
      </c>
      <c r="L33" s="190">
        <v>0.07583865291052759</v>
      </c>
      <c r="M33" s="183">
        <v>29034.0</v>
      </c>
      <c r="N33" s="183">
        <v>25913.0</v>
      </c>
      <c r="O33" s="572">
        <v>0.4715999053633501</v>
      </c>
      <c r="P33" s="433">
        <v>0.06932134602435074</v>
      </c>
      <c r="Q33" s="34">
        <v>3809.0</v>
      </c>
      <c r="R33" s="425">
        <v>0.030338326023258776</v>
      </c>
      <c r="S33" s="31">
        <v>1667.0</v>
      </c>
      <c r="T33" s="425">
        <v>0.0</v>
      </c>
      <c r="U33" s="427" t="s">
        <v>231</v>
      </c>
      <c r="V33" s="425">
        <v>0.8195533878100715</v>
      </c>
      <c r="W33" s="31">
        <v>45032.0</v>
      </c>
      <c r="X33" s="573">
        <v>0.0800589659126067</v>
      </c>
      <c r="Y33" s="31">
        <v>4399.0</v>
      </c>
      <c r="Z33" s="576">
        <v>7.279742297122681E-4</v>
      </c>
      <c r="AA33" s="31">
        <v>40.0</v>
      </c>
      <c r="AB33" s="574">
        <v>0.5932807978597557</v>
      </c>
      <c r="AC33" s="467">
        <v>32599.0</v>
      </c>
    </row>
    <row r="34" ht="14.25" customHeight="1">
      <c r="A34" s="181" t="s">
        <v>150</v>
      </c>
      <c r="B34" s="182">
        <v>751.0</v>
      </c>
      <c r="C34" s="182" t="s">
        <v>181</v>
      </c>
      <c r="D34" s="35">
        <v>13613.0</v>
      </c>
      <c r="E34" s="183">
        <v>8325.0</v>
      </c>
      <c r="F34" s="183">
        <v>3594.0</v>
      </c>
      <c r="G34" s="183">
        <v>4731.0</v>
      </c>
      <c r="H34" s="183">
        <v>20.0</v>
      </c>
      <c r="I34" s="183">
        <v>2.0</v>
      </c>
      <c r="J34" s="183">
        <v>18.0</v>
      </c>
      <c r="K34" s="183">
        <v>5268.0</v>
      </c>
      <c r="L34" s="190">
        <v>0.3869830309263204</v>
      </c>
      <c r="M34" s="183">
        <v>1847.0</v>
      </c>
      <c r="N34" s="183">
        <v>3421.0</v>
      </c>
      <c r="O34" s="572">
        <v>0.6493925588458618</v>
      </c>
      <c r="P34" s="433">
        <v>0.6738800303720577</v>
      </c>
      <c r="Q34" s="34">
        <v>3550.0</v>
      </c>
      <c r="R34" s="425">
        <v>0.01442672741078208</v>
      </c>
      <c r="S34" s="31">
        <v>76.0</v>
      </c>
      <c r="T34" s="425">
        <v>0.012528473804100227</v>
      </c>
      <c r="U34" s="31">
        <v>66.0</v>
      </c>
      <c r="V34" s="425">
        <v>0.29916476841306</v>
      </c>
      <c r="W34" s="31">
        <v>1576.0</v>
      </c>
      <c r="X34" s="573">
        <v>0.0</v>
      </c>
      <c r="Y34" s="427" t="s">
        <v>231</v>
      </c>
      <c r="Z34" s="573">
        <v>0.0</v>
      </c>
      <c r="AA34" s="427" t="s">
        <v>231</v>
      </c>
      <c r="AB34" s="574">
        <v>0.8836370539104025</v>
      </c>
      <c r="AC34" s="467">
        <v>4655.0</v>
      </c>
    </row>
    <row r="35" ht="14.25" customHeight="1">
      <c r="A35" s="181" t="s">
        <v>148</v>
      </c>
      <c r="B35" s="182">
        <v>855.0</v>
      </c>
      <c r="C35" s="182" t="s">
        <v>182</v>
      </c>
      <c r="D35" s="35">
        <v>569920.0</v>
      </c>
      <c r="E35" s="183">
        <v>500512.0</v>
      </c>
      <c r="F35" s="183">
        <v>126592.0</v>
      </c>
      <c r="G35" s="183">
        <v>373920.0</v>
      </c>
      <c r="H35" s="183">
        <v>16002.0</v>
      </c>
      <c r="I35" s="183">
        <v>7144.0</v>
      </c>
      <c r="J35" s="183">
        <v>8858.0</v>
      </c>
      <c r="K35" s="183">
        <v>53406.0</v>
      </c>
      <c r="L35" s="190">
        <v>0.09370788882650197</v>
      </c>
      <c r="M35" s="183">
        <v>8581.0</v>
      </c>
      <c r="N35" s="183">
        <v>44825.0</v>
      </c>
      <c r="O35" s="572">
        <v>0.8393251694566154</v>
      </c>
      <c r="P35" s="433">
        <v>0.03306744560536269</v>
      </c>
      <c r="Q35" s="34">
        <v>1766.0</v>
      </c>
      <c r="R35" s="425">
        <v>0.0054488259746095944</v>
      </c>
      <c r="S35" s="31">
        <v>291.0</v>
      </c>
      <c r="T35" s="425">
        <v>0.1038272853237464</v>
      </c>
      <c r="U35" s="31">
        <v>5545.0</v>
      </c>
      <c r="V35" s="425">
        <v>0.8496423622813916</v>
      </c>
      <c r="W35" s="31">
        <v>45376.0</v>
      </c>
      <c r="X35" s="573">
        <v>0.0</v>
      </c>
      <c r="Y35" s="427" t="s">
        <v>231</v>
      </c>
      <c r="Z35" s="576">
        <v>0.008014080814889713</v>
      </c>
      <c r="AA35" s="31">
        <v>428.0</v>
      </c>
      <c r="AB35" s="574">
        <v>0.47543347189454366</v>
      </c>
      <c r="AC35" s="467">
        <v>25391.0</v>
      </c>
    </row>
    <row r="36" ht="14.25" customHeight="1">
      <c r="A36" s="181" t="s">
        <v>150</v>
      </c>
      <c r="B36" s="182">
        <v>754.0</v>
      </c>
      <c r="C36" s="182" t="s">
        <v>183</v>
      </c>
      <c r="D36" s="35">
        <v>320894.0</v>
      </c>
      <c r="E36" s="183">
        <v>299353.0</v>
      </c>
      <c r="F36" s="183">
        <v>118399.0</v>
      </c>
      <c r="G36" s="183">
        <v>180954.0</v>
      </c>
      <c r="H36" s="183">
        <v>1702.0</v>
      </c>
      <c r="I36" s="183">
        <v>906.0</v>
      </c>
      <c r="J36" s="183">
        <v>796.0</v>
      </c>
      <c r="K36" s="183">
        <v>19839.0</v>
      </c>
      <c r="L36" s="190">
        <v>0.061824153770403935</v>
      </c>
      <c r="M36" s="183">
        <v>7174.0</v>
      </c>
      <c r="N36" s="183">
        <v>12665.0</v>
      </c>
      <c r="O36" s="572">
        <v>0.6383890317052271</v>
      </c>
      <c r="P36" s="433">
        <v>0.709410756590554</v>
      </c>
      <c r="Q36" s="34">
        <v>14074.0</v>
      </c>
      <c r="R36" s="425">
        <v>0.19360854881798478</v>
      </c>
      <c r="S36" s="31">
        <v>3841.0</v>
      </c>
      <c r="T36" s="425">
        <v>0.08815968546801754</v>
      </c>
      <c r="U36" s="31">
        <v>1749.0</v>
      </c>
      <c r="V36" s="425">
        <v>0.0</v>
      </c>
      <c r="W36" s="31">
        <v>0.0</v>
      </c>
      <c r="X36" s="573">
        <v>0.0</v>
      </c>
      <c r="Y36" s="427" t="s">
        <v>231</v>
      </c>
      <c r="Z36" s="576">
        <v>0.008821009123443722</v>
      </c>
      <c r="AA36" s="31">
        <v>175.0</v>
      </c>
      <c r="AB36" s="574">
        <v>0.6157064368163718</v>
      </c>
      <c r="AC36" s="467">
        <v>12215.0</v>
      </c>
    </row>
    <row r="37" ht="14.25" customHeight="1">
      <c r="A37" s="181" t="s">
        <v>148</v>
      </c>
      <c r="B37" s="182">
        <v>834.0</v>
      </c>
      <c r="C37" s="182" t="s">
        <v>184</v>
      </c>
      <c r="D37" s="35">
        <v>36433.0</v>
      </c>
      <c r="E37" s="183">
        <v>26501.0</v>
      </c>
      <c r="F37" s="183">
        <v>17345.0</v>
      </c>
      <c r="G37" s="183">
        <v>9156.0</v>
      </c>
      <c r="H37" s="183">
        <v>160.0</v>
      </c>
      <c r="I37" s="183">
        <v>89.0</v>
      </c>
      <c r="J37" s="183">
        <v>71.0</v>
      </c>
      <c r="K37" s="183">
        <v>9772.0</v>
      </c>
      <c r="L37" s="190">
        <v>0.2682183734526391</v>
      </c>
      <c r="M37" s="183">
        <v>6265.0</v>
      </c>
      <c r="N37" s="183">
        <v>3507.0</v>
      </c>
      <c r="O37" s="572">
        <v>0.35888252148997135</v>
      </c>
      <c r="P37" s="433">
        <v>0.5363282848956201</v>
      </c>
      <c r="Q37" s="34">
        <v>5241.0</v>
      </c>
      <c r="R37" s="425">
        <v>0.006753990994678674</v>
      </c>
      <c r="S37" s="31">
        <v>66.0</v>
      </c>
      <c r="T37" s="425">
        <v>0.0</v>
      </c>
      <c r="U37" s="31">
        <v>0.0</v>
      </c>
      <c r="V37" s="425">
        <v>0.38548915268112977</v>
      </c>
      <c r="W37" s="31">
        <v>3767.0</v>
      </c>
      <c r="X37" s="573">
        <v>0.02885796152271797</v>
      </c>
      <c r="Y37" s="31">
        <v>282.0</v>
      </c>
      <c r="Z37" s="573">
        <v>0.04257060990585346</v>
      </c>
      <c r="AA37" s="31">
        <v>416.0</v>
      </c>
      <c r="AB37" s="574">
        <v>0.8750511665984445</v>
      </c>
      <c r="AC37" s="467">
        <v>8551.0</v>
      </c>
    </row>
    <row r="38" ht="14.25" customHeight="1">
      <c r="A38" s="181" t="s">
        <v>159</v>
      </c>
      <c r="B38" s="182">
        <v>851.0</v>
      </c>
      <c r="C38" s="182" t="s">
        <v>185</v>
      </c>
      <c r="D38" s="35">
        <v>1507828.0</v>
      </c>
      <c r="E38" s="183">
        <v>1193090.0</v>
      </c>
      <c r="F38" s="183">
        <v>676820.0</v>
      </c>
      <c r="G38" s="183">
        <v>516270.0</v>
      </c>
      <c r="H38" s="183">
        <v>25303.0</v>
      </c>
      <c r="I38" s="183">
        <v>13555.0</v>
      </c>
      <c r="J38" s="183">
        <v>11748.0</v>
      </c>
      <c r="K38" s="183">
        <v>289435.0</v>
      </c>
      <c r="L38" s="190">
        <v>0.19195491793493688</v>
      </c>
      <c r="M38" s="183">
        <v>128698.0</v>
      </c>
      <c r="N38" s="183">
        <v>160737.0</v>
      </c>
      <c r="O38" s="572">
        <v>0.5553474873460362</v>
      </c>
      <c r="P38" s="433">
        <v>0.5421873650387825</v>
      </c>
      <c r="Q38" s="34">
        <v>156928.0</v>
      </c>
      <c r="R38" s="426">
        <v>0.004360219047454523</v>
      </c>
      <c r="S38" s="31">
        <v>1262.0</v>
      </c>
      <c r="T38" s="425">
        <v>0.020232521982483112</v>
      </c>
      <c r="U38" s="31">
        <v>5856.0</v>
      </c>
      <c r="V38" s="425">
        <v>0.36547756836595435</v>
      </c>
      <c r="W38" s="31">
        <v>105782.0</v>
      </c>
      <c r="X38" s="573">
        <v>0.057049078376837634</v>
      </c>
      <c r="Y38" s="31">
        <v>16512.0</v>
      </c>
      <c r="Z38" s="573">
        <v>0.010693247188487916</v>
      </c>
      <c r="AA38" s="31">
        <v>3095.0</v>
      </c>
      <c r="AB38" s="574">
        <v>0.8353758184048232</v>
      </c>
      <c r="AC38" s="467">
        <v>241787.0</v>
      </c>
    </row>
    <row r="39" ht="14.25" customHeight="1">
      <c r="A39" s="181" t="s">
        <v>159</v>
      </c>
      <c r="B39" s="182">
        <v>719.0</v>
      </c>
      <c r="C39" s="182" t="s">
        <v>186</v>
      </c>
      <c r="D39" s="35">
        <v>123212.0</v>
      </c>
      <c r="E39" s="183">
        <v>109773.0</v>
      </c>
      <c r="F39" s="183">
        <v>50365.0</v>
      </c>
      <c r="G39" s="183">
        <v>59408.0</v>
      </c>
      <c r="H39" s="183">
        <v>3612.0</v>
      </c>
      <c r="I39" s="183">
        <v>1672.0</v>
      </c>
      <c r="J39" s="183">
        <v>1940.0</v>
      </c>
      <c r="K39" s="183">
        <v>9827.0</v>
      </c>
      <c r="L39" s="190">
        <v>0.079756841866052</v>
      </c>
      <c r="M39" s="183">
        <v>3411.0</v>
      </c>
      <c r="N39" s="183">
        <v>6416.0</v>
      </c>
      <c r="O39" s="572">
        <v>0.6528950849699806</v>
      </c>
      <c r="P39" s="433">
        <v>0.11010481326956345</v>
      </c>
      <c r="Q39" s="34">
        <v>1082.0</v>
      </c>
      <c r="R39" s="425">
        <v>0.015060547471252671</v>
      </c>
      <c r="S39" s="31">
        <v>148.0</v>
      </c>
      <c r="T39" s="425">
        <v>0.04385875648722906</v>
      </c>
      <c r="U39" s="31">
        <v>431.0</v>
      </c>
      <c r="V39" s="425">
        <v>0.7848783962552153</v>
      </c>
      <c r="W39" s="31">
        <v>7713.0</v>
      </c>
      <c r="X39" s="573">
        <v>0.045283402869644857</v>
      </c>
      <c r="Y39" s="31">
        <v>445.0</v>
      </c>
      <c r="Z39" s="576">
        <v>8.14083647094739E-4</v>
      </c>
      <c r="AA39" s="31">
        <v>8.0</v>
      </c>
      <c r="AB39" s="574">
        <v>0.5897018418642516</v>
      </c>
      <c r="AC39" s="467">
        <v>5795.0</v>
      </c>
    </row>
    <row r="40" ht="14.25" customHeight="1">
      <c r="A40" s="181" t="s">
        <v>153</v>
      </c>
      <c r="B40" s="182">
        <v>866.0</v>
      </c>
      <c r="C40" s="182" t="s">
        <v>187</v>
      </c>
      <c r="D40" s="35">
        <v>581687.0</v>
      </c>
      <c r="E40" s="183">
        <v>482582.0</v>
      </c>
      <c r="F40" s="183">
        <v>291963.0</v>
      </c>
      <c r="G40" s="183">
        <v>190619.0</v>
      </c>
      <c r="H40" s="183">
        <v>1422.0</v>
      </c>
      <c r="I40" s="183">
        <v>738.0</v>
      </c>
      <c r="J40" s="183">
        <v>684.0</v>
      </c>
      <c r="K40" s="183">
        <v>97683.0</v>
      </c>
      <c r="L40" s="190">
        <v>0.16793051933428116</v>
      </c>
      <c r="M40" s="183">
        <v>35236.0</v>
      </c>
      <c r="N40" s="183">
        <v>62447.0</v>
      </c>
      <c r="O40" s="572">
        <v>0.6392821678285884</v>
      </c>
      <c r="P40" s="433">
        <v>0.8643981040713328</v>
      </c>
      <c r="Q40" s="34">
        <v>84437.0</v>
      </c>
      <c r="R40" s="426">
        <v>0.004576026534811584</v>
      </c>
      <c r="S40" s="31">
        <v>447.0</v>
      </c>
      <c r="T40" s="426">
        <v>0.0011977519117963207</v>
      </c>
      <c r="U40" s="31">
        <v>117.0</v>
      </c>
      <c r="V40" s="425">
        <v>0.11101215155144703</v>
      </c>
      <c r="W40" s="31">
        <v>10844.0</v>
      </c>
      <c r="X40" s="573">
        <v>0.0</v>
      </c>
      <c r="Y40" s="427" t="s">
        <v>231</v>
      </c>
      <c r="Z40" s="573">
        <v>0.018815965930612286</v>
      </c>
      <c r="AA40" s="31">
        <v>1838.0</v>
      </c>
      <c r="AB40" s="574">
        <v>0.8857938433504294</v>
      </c>
      <c r="AC40" s="467">
        <v>86527.0</v>
      </c>
    </row>
    <row r="41" ht="14.25" customHeight="1">
      <c r="C41" s="230" t="s">
        <v>67</v>
      </c>
      <c r="D41" s="237">
        <v>9507123.0</v>
      </c>
      <c r="E41" s="237">
        <v>8124019.0</v>
      </c>
      <c r="F41" s="237">
        <v>4065523.0</v>
      </c>
      <c r="G41" s="237">
        <v>4058496.0</v>
      </c>
      <c r="H41" s="237">
        <v>129791.0</v>
      </c>
      <c r="I41" s="237">
        <v>58990.0</v>
      </c>
      <c r="J41" s="237">
        <v>70801.0</v>
      </c>
      <c r="K41" s="237">
        <v>1253313.0</v>
      </c>
      <c r="L41" s="235">
        <v>0.13182884033371609</v>
      </c>
      <c r="M41" s="237">
        <v>505878.0</v>
      </c>
      <c r="N41" s="237">
        <v>747435.0</v>
      </c>
      <c r="O41" s="579">
        <v>0.5963673878751756</v>
      </c>
      <c r="P41" s="488">
        <v>0.413393142814285</v>
      </c>
      <c r="Q41" s="237">
        <v>518111.0</v>
      </c>
      <c r="R41" s="489">
        <v>0.01602153651960843</v>
      </c>
      <c r="S41" s="237">
        <v>20080.0</v>
      </c>
      <c r="T41" s="489">
        <v>0.03790513622694411</v>
      </c>
      <c r="U41" s="237">
        <v>47507.0</v>
      </c>
      <c r="V41" s="489">
        <v>0.48145195972594235</v>
      </c>
      <c r="W41" s="237">
        <v>603410.0</v>
      </c>
      <c r="X41" s="580">
        <v>0.018008270878862663</v>
      </c>
      <c r="Y41" s="237">
        <v>22570.0</v>
      </c>
      <c r="Z41" s="580">
        <v>0.03321995383435742</v>
      </c>
      <c r="AA41" s="237">
        <v>41635.0</v>
      </c>
      <c r="AB41" s="581">
        <v>0.7242556328706397</v>
      </c>
      <c r="AC41" s="490">
        <v>907719.0</v>
      </c>
    </row>
    <row r="42" ht="14.25" customHeight="1">
      <c r="AC42" s="582"/>
    </row>
    <row r="43" ht="43.5" customHeight="1">
      <c r="C43" s="493" t="s">
        <v>459</v>
      </c>
      <c r="D43" s="493" t="s">
        <v>898</v>
      </c>
      <c r="AC43" s="582"/>
      <c r="AG43" s="2" t="s">
        <v>462</v>
      </c>
    </row>
    <row r="44" ht="14.25" customHeight="1">
      <c r="C44" s="226" t="s">
        <v>273</v>
      </c>
      <c r="D44" s="386">
        <v>0.06379432265885443</v>
      </c>
      <c r="AC44" s="582"/>
    </row>
    <row r="45" ht="14.25" customHeight="1">
      <c r="C45" s="226" t="s">
        <v>52</v>
      </c>
      <c r="D45" s="386">
        <v>0.0576202118989405</v>
      </c>
      <c r="AC45" s="583"/>
    </row>
    <row r="46" ht="14.25" customHeight="1">
      <c r="C46" s="226" t="s">
        <v>39</v>
      </c>
      <c r="D46" s="386">
        <v>0.10024348099277411</v>
      </c>
    </row>
    <row r="47" ht="14.25" customHeight="1"/>
    <row r="48" ht="14.25" customHeight="1">
      <c r="C48" s="2" t="s">
        <v>899</v>
      </c>
    </row>
    <row r="49" ht="14.25" customHeight="1"/>
    <row r="50" ht="14.25" customHeight="1">
      <c r="A50" s="168" t="s">
        <v>110</v>
      </c>
      <c r="B50" s="168" t="s">
        <v>111</v>
      </c>
      <c r="C50" s="168" t="s">
        <v>112</v>
      </c>
      <c r="D50" s="382" t="s">
        <v>900</v>
      </c>
    </row>
    <row r="51" ht="14.25" customHeight="1">
      <c r="A51" s="23"/>
      <c r="B51" s="23"/>
      <c r="C51" s="23"/>
      <c r="D51" s="342" t="s">
        <v>67</v>
      </c>
      <c r="E51" s="342" t="s">
        <v>248</v>
      </c>
      <c r="F51" s="343" t="s">
        <v>901</v>
      </c>
      <c r="G51" s="342" t="s">
        <v>249</v>
      </c>
      <c r="H51" s="343" t="s">
        <v>902</v>
      </c>
      <c r="I51" s="342" t="s">
        <v>250</v>
      </c>
      <c r="J51" s="343" t="s">
        <v>903</v>
      </c>
      <c r="K51" s="342" t="s">
        <v>251</v>
      </c>
      <c r="L51" s="343" t="s">
        <v>254</v>
      </c>
      <c r="M51" s="343" t="s">
        <v>255</v>
      </c>
      <c r="N51" s="343" t="s">
        <v>256</v>
      </c>
      <c r="O51" s="343" t="s">
        <v>257</v>
      </c>
      <c r="P51" s="343" t="s">
        <v>258</v>
      </c>
      <c r="Q51" s="343" t="s">
        <v>259</v>
      </c>
      <c r="R51" s="343" t="s">
        <v>260</v>
      </c>
      <c r="S51" s="343" t="s">
        <v>261</v>
      </c>
    </row>
    <row r="52" ht="14.25" customHeight="1">
      <c r="A52" s="181" t="s">
        <v>146</v>
      </c>
      <c r="B52" s="182">
        <v>853.0</v>
      </c>
      <c r="C52" s="182" t="s">
        <v>147</v>
      </c>
      <c r="D52" s="183">
        <v>5281.0</v>
      </c>
      <c r="E52" s="183">
        <v>3335.0</v>
      </c>
      <c r="F52" s="274">
        <v>0.004733951903048665</v>
      </c>
      <c r="G52" s="183">
        <v>25.0</v>
      </c>
      <c r="H52" s="274">
        <v>0.07100927854572997</v>
      </c>
      <c r="I52" s="183">
        <v>375.0</v>
      </c>
      <c r="J52" s="274">
        <v>0.29274758568452947</v>
      </c>
      <c r="K52" s="183">
        <v>1546.0</v>
      </c>
      <c r="L52" s="30">
        <v>2522.0</v>
      </c>
      <c r="M52" s="185">
        <v>3.0</v>
      </c>
      <c r="N52" s="185">
        <v>350.0</v>
      </c>
      <c r="O52" s="185">
        <v>1168.0</v>
      </c>
      <c r="P52" s="185">
        <v>697.0</v>
      </c>
      <c r="Q52" s="185">
        <v>0.0</v>
      </c>
      <c r="R52" s="185">
        <v>9.0</v>
      </c>
      <c r="S52" s="185">
        <v>323.0</v>
      </c>
    </row>
    <row r="53" ht="14.25" customHeight="1">
      <c r="A53" s="181" t="s">
        <v>148</v>
      </c>
      <c r="B53" s="182">
        <v>902.0</v>
      </c>
      <c r="C53" s="182" t="s">
        <v>149</v>
      </c>
      <c r="D53" s="183">
        <v>320724.0</v>
      </c>
      <c r="E53" s="183">
        <v>99787.0</v>
      </c>
      <c r="F53" s="274">
        <v>0.18776892281213753</v>
      </c>
      <c r="G53" s="183">
        <v>60222.0</v>
      </c>
      <c r="H53" s="274">
        <v>0.054501689926541204</v>
      </c>
      <c r="I53" s="183">
        <v>17480.0</v>
      </c>
      <c r="J53" s="274">
        <v>0.4465989448871927</v>
      </c>
      <c r="K53" s="183">
        <v>143235.0</v>
      </c>
      <c r="L53" s="348">
        <v>51256.0</v>
      </c>
      <c r="M53" s="185">
        <v>33296.0</v>
      </c>
      <c r="N53" s="185">
        <v>10450.0</v>
      </c>
      <c r="O53" s="185">
        <v>83803.0</v>
      </c>
      <c r="P53" s="185">
        <v>43736.0</v>
      </c>
      <c r="Q53" s="185">
        <v>23478.0</v>
      </c>
      <c r="R53" s="185">
        <v>1014.0</v>
      </c>
      <c r="S53" s="185">
        <v>54236.0</v>
      </c>
    </row>
    <row r="54" ht="14.25" customHeight="1">
      <c r="A54" s="181" t="s">
        <v>150</v>
      </c>
      <c r="B54" s="182">
        <v>669.0</v>
      </c>
      <c r="C54" s="182" t="s">
        <v>151</v>
      </c>
      <c r="D54" s="183">
        <v>23707.0</v>
      </c>
      <c r="E54" s="183">
        <v>4797.0</v>
      </c>
      <c r="F54" s="274">
        <v>0.01725228835365082</v>
      </c>
      <c r="G54" s="183">
        <v>409.0</v>
      </c>
      <c r="H54" s="274">
        <v>0.7264099211203442</v>
      </c>
      <c r="I54" s="183">
        <v>17221.0</v>
      </c>
      <c r="J54" s="274">
        <v>0.053992491669127264</v>
      </c>
      <c r="K54" s="183">
        <v>1280.0</v>
      </c>
      <c r="L54" s="348">
        <v>1601.0</v>
      </c>
      <c r="M54" s="185">
        <v>65.0</v>
      </c>
      <c r="N54" s="185">
        <v>13883.0</v>
      </c>
      <c r="O54" s="185">
        <v>173.0</v>
      </c>
      <c r="P54" s="185">
        <v>2208.0</v>
      </c>
      <c r="Q54" s="185">
        <v>203.0</v>
      </c>
      <c r="R54" s="185">
        <v>2804.0</v>
      </c>
      <c r="S54" s="185">
        <v>688.0</v>
      </c>
    </row>
    <row r="55" ht="14.25" customHeight="1">
      <c r="A55" s="181" t="s">
        <v>150</v>
      </c>
      <c r="B55" s="182">
        <v>848.0</v>
      </c>
      <c r="C55" s="182" t="s">
        <v>152</v>
      </c>
      <c r="D55" s="183">
        <v>352944.0</v>
      </c>
      <c r="E55" s="183">
        <v>165437.0</v>
      </c>
      <c r="F55" s="274">
        <v>0.07057776871118364</v>
      </c>
      <c r="G55" s="183">
        <v>24910.0</v>
      </c>
      <c r="H55" s="274">
        <v>0.15533059068860783</v>
      </c>
      <c r="I55" s="183">
        <v>54823.0</v>
      </c>
      <c r="J55" s="274">
        <v>0.3053572238088762</v>
      </c>
      <c r="K55" s="183">
        <v>107774.0</v>
      </c>
      <c r="L55" s="30">
        <v>89721.0</v>
      </c>
      <c r="M55" s="185">
        <v>17894.0</v>
      </c>
      <c r="N55" s="185">
        <v>35363.0</v>
      </c>
      <c r="O55" s="185">
        <v>74585.0</v>
      </c>
      <c r="P55" s="185">
        <v>48948.0</v>
      </c>
      <c r="Q55" s="185">
        <v>4210.0</v>
      </c>
      <c r="R55" s="185">
        <v>11154.0</v>
      </c>
      <c r="S55" s="185">
        <v>22270.0</v>
      </c>
    </row>
    <row r="56" ht="14.25" customHeight="1">
      <c r="A56" s="181" t="s">
        <v>153</v>
      </c>
      <c r="B56" s="182">
        <v>773.0</v>
      </c>
      <c r="C56" s="182" t="s">
        <v>154</v>
      </c>
      <c r="D56" s="183">
        <v>582876.0</v>
      </c>
      <c r="E56" s="183">
        <v>216217.0</v>
      </c>
      <c r="F56" s="274">
        <v>0.10977978163451575</v>
      </c>
      <c r="G56" s="183">
        <v>63988.0</v>
      </c>
      <c r="H56" s="274">
        <v>0.01505122873475662</v>
      </c>
      <c r="I56" s="183">
        <v>8773.0</v>
      </c>
      <c r="J56" s="274">
        <v>0.5042204516912688</v>
      </c>
      <c r="K56" s="183">
        <v>293898.0</v>
      </c>
      <c r="L56" s="30">
        <v>119163.0</v>
      </c>
      <c r="M56" s="185">
        <v>55581.0</v>
      </c>
      <c r="N56" s="185">
        <v>5034.0</v>
      </c>
      <c r="O56" s="185">
        <v>215411.0</v>
      </c>
      <c r="P56" s="185">
        <v>60952.0</v>
      </c>
      <c r="Q56" s="185">
        <v>4466.0</v>
      </c>
      <c r="R56" s="185">
        <v>2107.0</v>
      </c>
      <c r="S56" s="185">
        <v>42424.0</v>
      </c>
    </row>
    <row r="57" ht="14.25" customHeight="1">
      <c r="A57" s="181" t="s">
        <v>155</v>
      </c>
      <c r="B57" s="182">
        <v>927.0</v>
      </c>
      <c r="C57" s="182" t="s">
        <v>156</v>
      </c>
      <c r="D57" s="183">
        <v>9345.0</v>
      </c>
      <c r="E57" s="183">
        <v>7516.0</v>
      </c>
      <c r="F57" s="274">
        <v>0.08689138576779026</v>
      </c>
      <c r="G57" s="183">
        <v>812.0</v>
      </c>
      <c r="H57" s="274">
        <v>0.002675227394328518</v>
      </c>
      <c r="I57" s="183">
        <v>25.0</v>
      </c>
      <c r="J57" s="274">
        <v>0.10615302300695559</v>
      </c>
      <c r="K57" s="183">
        <v>992.0</v>
      </c>
      <c r="L57" s="30">
        <v>3002.0</v>
      </c>
      <c r="M57" s="185">
        <v>706.0</v>
      </c>
      <c r="N57" s="185">
        <v>2.0</v>
      </c>
      <c r="O57" s="185">
        <v>905.0</v>
      </c>
      <c r="P57" s="185">
        <v>3772.0</v>
      </c>
      <c r="Q57" s="185">
        <v>25.0</v>
      </c>
      <c r="R57" s="185">
        <v>9.0</v>
      </c>
      <c r="S57" s="185">
        <v>39.0</v>
      </c>
    </row>
    <row r="58" ht="14.25" customHeight="1">
      <c r="A58" s="181" t="s">
        <v>146</v>
      </c>
      <c r="B58" s="182">
        <v>843.0</v>
      </c>
      <c r="C58" s="182" t="s">
        <v>157</v>
      </c>
      <c r="D58" s="183">
        <v>260782.0</v>
      </c>
      <c r="E58" s="183">
        <v>59835.0</v>
      </c>
      <c r="F58" s="274">
        <v>0.12187957757820708</v>
      </c>
      <c r="G58" s="183">
        <v>31784.0</v>
      </c>
      <c r="H58" s="274">
        <v>0.2654937840801896</v>
      </c>
      <c r="I58" s="183">
        <v>69236.0</v>
      </c>
      <c r="J58" s="274">
        <v>0.38318212146543856</v>
      </c>
      <c r="K58" s="183">
        <v>99927.0</v>
      </c>
      <c r="L58" s="30">
        <v>29337.0</v>
      </c>
      <c r="M58" s="185">
        <v>24176.0</v>
      </c>
      <c r="N58" s="185">
        <v>59451.0</v>
      </c>
      <c r="O58" s="185">
        <v>63484.0</v>
      </c>
      <c r="P58" s="185">
        <v>28351.0</v>
      </c>
      <c r="Q58" s="185">
        <v>7182.0</v>
      </c>
      <c r="R58" s="185">
        <v>8453.0</v>
      </c>
      <c r="S58" s="185">
        <v>34732.0</v>
      </c>
    </row>
    <row r="59" ht="14.25" customHeight="1">
      <c r="A59" s="181" t="s">
        <v>146</v>
      </c>
      <c r="B59" s="182">
        <v>857.0</v>
      </c>
      <c r="C59" s="182" t="s">
        <v>158</v>
      </c>
      <c r="D59" s="183">
        <v>4489.0</v>
      </c>
      <c r="E59" s="183">
        <v>1937.0</v>
      </c>
      <c r="F59" s="274">
        <v>0.05301848964134551</v>
      </c>
      <c r="G59" s="183">
        <v>238.0</v>
      </c>
      <c r="H59" s="274">
        <v>0.321675206059256</v>
      </c>
      <c r="I59" s="183">
        <v>1444.0</v>
      </c>
      <c r="J59" s="274">
        <v>0.19380708398306973</v>
      </c>
      <c r="K59" s="183">
        <v>870.0</v>
      </c>
      <c r="L59" s="30">
        <v>764.0</v>
      </c>
      <c r="M59" s="185">
        <v>163.0</v>
      </c>
      <c r="N59" s="185">
        <v>1203.0</v>
      </c>
      <c r="O59" s="185">
        <v>615.0</v>
      </c>
      <c r="P59" s="185">
        <v>994.0</v>
      </c>
      <c r="Q59" s="185">
        <v>47.0</v>
      </c>
      <c r="R59" s="185">
        <v>184.0</v>
      </c>
      <c r="S59" s="185">
        <v>159.0</v>
      </c>
    </row>
    <row r="60" ht="14.25" customHeight="1">
      <c r="A60" s="181" t="s">
        <v>159</v>
      </c>
      <c r="B60" s="182">
        <v>899.0</v>
      </c>
      <c r="C60" s="182" t="s">
        <v>160</v>
      </c>
      <c r="D60" s="183">
        <v>151600.0</v>
      </c>
      <c r="E60" s="183">
        <v>110513.0</v>
      </c>
      <c r="F60" s="274">
        <v>0.10624010554089709</v>
      </c>
      <c r="G60" s="183">
        <v>16106.0</v>
      </c>
      <c r="H60" s="274">
        <v>0.030897097625329814</v>
      </c>
      <c r="I60" s="183">
        <v>4684.0</v>
      </c>
      <c r="J60" s="274">
        <v>0.13388522427440633</v>
      </c>
      <c r="K60" s="183">
        <v>20297.0</v>
      </c>
      <c r="L60" s="30">
        <v>45665.0</v>
      </c>
      <c r="M60" s="185">
        <v>14255.0</v>
      </c>
      <c r="N60" s="185">
        <v>4357.0</v>
      </c>
      <c r="O60" s="185">
        <v>16569.0</v>
      </c>
      <c r="P60" s="185">
        <v>59363.0</v>
      </c>
      <c r="Q60" s="185">
        <v>690.0</v>
      </c>
      <c r="R60" s="185">
        <v>106.0</v>
      </c>
      <c r="S60" s="185">
        <v>2252.0</v>
      </c>
    </row>
    <row r="61" ht="14.25" customHeight="1">
      <c r="A61" s="181" t="s">
        <v>146</v>
      </c>
      <c r="B61" s="182">
        <v>795.0</v>
      </c>
      <c r="C61" s="182" t="s">
        <v>161</v>
      </c>
      <c r="D61" s="183">
        <v>13836.0</v>
      </c>
      <c r="E61" s="183">
        <v>11500.0</v>
      </c>
      <c r="F61" s="274">
        <v>0.008600751662330153</v>
      </c>
      <c r="G61" s="183">
        <v>119.0</v>
      </c>
      <c r="H61" s="274">
        <v>0.04235328129517202</v>
      </c>
      <c r="I61" s="183">
        <v>586.0</v>
      </c>
      <c r="J61" s="274">
        <v>0.11788089043076033</v>
      </c>
      <c r="K61" s="183">
        <v>1631.0</v>
      </c>
      <c r="L61" s="30">
        <v>1963.0</v>
      </c>
      <c r="M61" s="185">
        <v>47.0</v>
      </c>
      <c r="N61" s="185">
        <v>238.0</v>
      </c>
      <c r="O61" s="185">
        <v>612.0</v>
      </c>
      <c r="P61" s="185">
        <v>1828.0</v>
      </c>
      <c r="Q61" s="185">
        <v>11.0</v>
      </c>
      <c r="R61" s="185">
        <v>23.0</v>
      </c>
      <c r="S61" s="185">
        <v>79.0</v>
      </c>
    </row>
    <row r="62" ht="14.25" customHeight="1">
      <c r="A62" s="181" t="s">
        <v>155</v>
      </c>
      <c r="B62" s="182">
        <v>903.0</v>
      </c>
      <c r="C62" s="182" t="s">
        <v>162</v>
      </c>
      <c r="D62" s="183">
        <v>378118.0</v>
      </c>
      <c r="E62" s="183">
        <v>180176.0</v>
      </c>
      <c r="F62" s="274">
        <v>0.08501314404498067</v>
      </c>
      <c r="G62" s="183">
        <v>32145.0</v>
      </c>
      <c r="H62" s="274">
        <v>0.11837045578364426</v>
      </c>
      <c r="I62" s="183">
        <v>44758.0</v>
      </c>
      <c r="J62" s="274">
        <v>0.3201090664818919</v>
      </c>
      <c r="K62" s="183">
        <v>121039.0</v>
      </c>
      <c r="L62" s="30">
        <v>66920.0</v>
      </c>
      <c r="M62" s="185">
        <v>19050.0</v>
      </c>
      <c r="N62" s="185">
        <v>30647.0</v>
      </c>
      <c r="O62" s="185">
        <v>68568.0</v>
      </c>
      <c r="P62" s="185">
        <v>88385.0</v>
      </c>
      <c r="Q62" s="185">
        <v>8628.0</v>
      </c>
      <c r="R62" s="185">
        <v>6093.0</v>
      </c>
      <c r="S62" s="185">
        <v>35726.0</v>
      </c>
    </row>
    <row r="63" ht="14.25" customHeight="1">
      <c r="A63" s="181" t="s">
        <v>155</v>
      </c>
      <c r="B63" s="182">
        <v>865.0</v>
      </c>
      <c r="C63" s="182" t="s">
        <v>163</v>
      </c>
      <c r="D63" s="183">
        <v>237594.0</v>
      </c>
      <c r="E63" s="183">
        <v>165216.0</v>
      </c>
      <c r="F63" s="274">
        <v>0.09557901293803715</v>
      </c>
      <c r="G63" s="183">
        <v>22709.0</v>
      </c>
      <c r="H63" s="274">
        <v>2.4411390860038553E-4</v>
      </c>
      <c r="I63" s="183">
        <v>58.0</v>
      </c>
      <c r="J63" s="274">
        <v>0.20880577792368493</v>
      </c>
      <c r="K63" s="183">
        <v>49611.0</v>
      </c>
      <c r="L63" s="30">
        <v>53383.0</v>
      </c>
      <c r="M63" s="185">
        <v>15107.0</v>
      </c>
      <c r="N63" s="185">
        <v>0.0</v>
      </c>
      <c r="O63" s="185">
        <v>23630.0</v>
      </c>
      <c r="P63" s="185">
        <v>106490.0</v>
      </c>
      <c r="Q63" s="185">
        <v>6598.0</v>
      </c>
      <c r="R63" s="185">
        <v>26.0</v>
      </c>
      <c r="S63" s="185">
        <v>23711.0</v>
      </c>
    </row>
    <row r="64" ht="14.25" customHeight="1">
      <c r="A64" s="181" t="s">
        <v>159</v>
      </c>
      <c r="B64" s="182">
        <v>869.0</v>
      </c>
      <c r="C64" s="182" t="s">
        <v>164</v>
      </c>
      <c r="D64" s="183">
        <v>100137.0</v>
      </c>
      <c r="E64" s="183">
        <v>66327.0</v>
      </c>
      <c r="F64" s="274">
        <v>0.15985100412434963</v>
      </c>
      <c r="G64" s="183">
        <v>16007.0</v>
      </c>
      <c r="H64" s="274">
        <v>0.06308357550156286</v>
      </c>
      <c r="I64" s="183">
        <v>6317.0</v>
      </c>
      <c r="J64" s="274">
        <v>0.11470285708579246</v>
      </c>
      <c r="K64" s="183">
        <v>11486.0</v>
      </c>
      <c r="L64" s="30">
        <v>40935.0</v>
      </c>
      <c r="M64" s="185">
        <v>12032.0</v>
      </c>
      <c r="N64" s="185">
        <v>5011.0</v>
      </c>
      <c r="O64" s="185">
        <v>8061.0</v>
      </c>
      <c r="P64" s="185">
        <v>24693.0</v>
      </c>
      <c r="Q64" s="185">
        <v>3783.0</v>
      </c>
      <c r="R64" s="185">
        <v>1124.0</v>
      </c>
      <c r="S64" s="185">
        <v>3278.0</v>
      </c>
    </row>
    <row r="65" ht="14.25" customHeight="1">
      <c r="A65" s="181" t="s">
        <v>159</v>
      </c>
      <c r="B65" s="182">
        <v>834.0</v>
      </c>
      <c r="C65" s="182" t="s">
        <v>165</v>
      </c>
      <c r="D65" s="183">
        <v>167106.0</v>
      </c>
      <c r="E65" s="183">
        <v>139437.0</v>
      </c>
      <c r="F65" s="274">
        <v>0.04620420571373859</v>
      </c>
      <c r="G65" s="183">
        <v>7721.0</v>
      </c>
      <c r="H65" s="274">
        <v>0.05725108613694302</v>
      </c>
      <c r="I65" s="183">
        <v>9567.0</v>
      </c>
      <c r="J65" s="274">
        <v>0.06212224576017618</v>
      </c>
      <c r="K65" s="183">
        <v>10381.0</v>
      </c>
      <c r="L65" s="30">
        <v>77488.0</v>
      </c>
      <c r="M65" s="185">
        <v>4677.0</v>
      </c>
      <c r="N65" s="185">
        <v>8210.0</v>
      </c>
      <c r="O65" s="185">
        <v>6741.0</v>
      </c>
      <c r="P65" s="185">
        <v>60609.0</v>
      </c>
      <c r="Q65" s="185">
        <v>2806.0</v>
      </c>
      <c r="R65" s="185">
        <v>1234.0</v>
      </c>
      <c r="S65" s="185">
        <v>3382.0</v>
      </c>
    </row>
    <row r="66" ht="14.25" customHeight="1">
      <c r="A66" s="181" t="s">
        <v>153</v>
      </c>
      <c r="B66" s="182">
        <v>841.0</v>
      </c>
      <c r="C66" s="182" t="s">
        <v>166</v>
      </c>
      <c r="D66" s="183">
        <v>210418.0</v>
      </c>
      <c r="E66" s="183">
        <v>59431.0</v>
      </c>
      <c r="F66" s="274">
        <v>0.06539839747550115</v>
      </c>
      <c r="G66" s="183">
        <v>13761.0</v>
      </c>
      <c r="H66" s="274">
        <v>0.21217291296371985</v>
      </c>
      <c r="I66" s="183">
        <v>44645.0</v>
      </c>
      <c r="J66" s="274">
        <v>0.4399861228602116</v>
      </c>
      <c r="K66" s="183">
        <v>92581.0</v>
      </c>
      <c r="L66" s="30">
        <v>21521.0</v>
      </c>
      <c r="M66" s="185">
        <v>10096.0</v>
      </c>
      <c r="N66" s="185">
        <v>28477.0</v>
      </c>
      <c r="O66" s="185">
        <v>55906.0</v>
      </c>
      <c r="P66" s="185">
        <v>20669.0</v>
      </c>
      <c r="Q66" s="185">
        <v>761.0</v>
      </c>
      <c r="R66" s="185">
        <v>4534.0</v>
      </c>
      <c r="S66" s="185">
        <v>8458.0</v>
      </c>
    </row>
    <row r="67" ht="14.25" customHeight="1">
      <c r="A67" s="181" t="s">
        <v>159</v>
      </c>
      <c r="B67" s="182">
        <v>862.0</v>
      </c>
      <c r="C67" s="182" t="s">
        <v>167</v>
      </c>
      <c r="D67" s="183">
        <v>431386.0</v>
      </c>
      <c r="E67" s="183">
        <v>81273.0</v>
      </c>
      <c r="F67" s="274">
        <v>0.11617669558121961</v>
      </c>
      <c r="G67" s="183">
        <v>50117.0</v>
      </c>
      <c r="H67" s="274">
        <v>0.03779677597325829</v>
      </c>
      <c r="I67" s="183">
        <v>16305.0</v>
      </c>
      <c r="J67" s="274">
        <v>0.6576268121821293</v>
      </c>
      <c r="K67" s="183">
        <v>283691.0</v>
      </c>
      <c r="L67" s="30">
        <v>15923.0</v>
      </c>
      <c r="M67" s="185">
        <v>26891.0</v>
      </c>
      <c r="N67" s="185">
        <v>7550.0</v>
      </c>
      <c r="O67" s="185">
        <v>138982.0</v>
      </c>
      <c r="P67" s="185">
        <v>57254.0</v>
      </c>
      <c r="Q67" s="185">
        <v>15770.0</v>
      </c>
      <c r="R67" s="185">
        <v>5049.0</v>
      </c>
      <c r="S67" s="185">
        <v>111439.0</v>
      </c>
    </row>
    <row r="68" ht="14.25" customHeight="1">
      <c r="A68" s="181" t="s">
        <v>148</v>
      </c>
      <c r="B68" s="182">
        <v>928.0</v>
      </c>
      <c r="C68" s="182" t="s">
        <v>168</v>
      </c>
      <c r="D68" s="183">
        <v>268473.0</v>
      </c>
      <c r="E68" s="183">
        <v>126163.0</v>
      </c>
      <c r="F68" s="274">
        <v>0.04359097562883418</v>
      </c>
      <c r="G68" s="183">
        <v>11703.0</v>
      </c>
      <c r="H68" s="274">
        <v>0.008846327191188686</v>
      </c>
      <c r="I68" s="183">
        <v>2375.0</v>
      </c>
      <c r="J68" s="274">
        <v>0.4776346224760032</v>
      </c>
      <c r="K68" s="183">
        <v>128232.0</v>
      </c>
      <c r="L68" s="30">
        <v>24397.0</v>
      </c>
      <c r="M68" s="185">
        <v>8160.0</v>
      </c>
      <c r="N68" s="185">
        <v>1576.0</v>
      </c>
      <c r="O68" s="185">
        <v>40538.0</v>
      </c>
      <c r="P68" s="185">
        <v>36536.0</v>
      </c>
      <c r="Q68" s="185">
        <v>1953.0</v>
      </c>
      <c r="R68" s="185">
        <v>421.0</v>
      </c>
      <c r="S68" s="185">
        <v>29051.0</v>
      </c>
    </row>
    <row r="69" ht="14.25" customHeight="1">
      <c r="A69" s="181" t="s">
        <v>148</v>
      </c>
      <c r="B69" s="182">
        <v>844.0</v>
      </c>
      <c r="C69" s="182" t="s">
        <v>169</v>
      </c>
      <c r="D69" s="183">
        <v>6155.0</v>
      </c>
      <c r="E69" s="183">
        <v>352.0</v>
      </c>
      <c r="F69" s="274">
        <v>0.00974817221770918</v>
      </c>
      <c r="G69" s="183">
        <v>60.0</v>
      </c>
      <c r="H69" s="274">
        <v>0.9246141348497157</v>
      </c>
      <c r="I69" s="183">
        <v>5691.0</v>
      </c>
      <c r="J69" s="274">
        <v>0.008448415922014622</v>
      </c>
      <c r="K69" s="183">
        <v>52.0</v>
      </c>
      <c r="L69" s="30">
        <v>21.0</v>
      </c>
      <c r="M69" s="185">
        <v>31.0</v>
      </c>
      <c r="N69" s="185">
        <v>4289.0</v>
      </c>
      <c r="O69" s="185">
        <v>20.0</v>
      </c>
      <c r="P69" s="2">
        <v>283.0</v>
      </c>
      <c r="Q69" s="2">
        <v>8.0</v>
      </c>
      <c r="R69" s="185">
        <v>1295.0</v>
      </c>
      <c r="S69" s="185">
        <v>7.0</v>
      </c>
    </row>
    <row r="70" ht="14.25" customHeight="1">
      <c r="A70" s="181" t="s">
        <v>146</v>
      </c>
      <c r="B70" s="182">
        <v>851.0</v>
      </c>
      <c r="C70" s="182" t="s">
        <v>170</v>
      </c>
      <c r="D70" s="183">
        <v>806.0</v>
      </c>
      <c r="E70" s="183">
        <v>17.0</v>
      </c>
      <c r="F70" s="274">
        <v>0.013647642679900745</v>
      </c>
      <c r="G70" s="183">
        <v>11.0</v>
      </c>
      <c r="H70" s="274">
        <v>0.9466501240694789</v>
      </c>
      <c r="I70" s="183">
        <v>763.0</v>
      </c>
      <c r="J70" s="274">
        <v>0.018610421836228287</v>
      </c>
      <c r="K70" s="183">
        <v>15.0</v>
      </c>
      <c r="L70" s="185">
        <v>7.0</v>
      </c>
      <c r="M70" s="185">
        <v>2.0</v>
      </c>
      <c r="N70" s="185">
        <v>757.0</v>
      </c>
      <c r="O70" s="185">
        <v>9.0</v>
      </c>
      <c r="P70" s="185">
        <v>0.0</v>
      </c>
      <c r="Q70" s="185">
        <v>0.0</v>
      </c>
      <c r="R70" s="185">
        <v>0.0</v>
      </c>
      <c r="S70" s="185">
        <v>0.0</v>
      </c>
    </row>
    <row r="71" ht="14.25" customHeight="1">
      <c r="A71" s="181" t="s">
        <v>155</v>
      </c>
      <c r="B71" s="182">
        <v>771.0</v>
      </c>
      <c r="C71" s="182" t="s">
        <v>171</v>
      </c>
      <c r="D71" s="183">
        <v>601208.0</v>
      </c>
      <c r="E71" s="183">
        <v>251751.0</v>
      </c>
      <c r="F71" s="274">
        <v>0.11982375484025495</v>
      </c>
      <c r="G71" s="183">
        <v>72039.0</v>
      </c>
      <c r="H71" s="274">
        <v>0.1076549214248646</v>
      </c>
      <c r="I71" s="183">
        <v>64723.0</v>
      </c>
      <c r="J71" s="274">
        <v>0.35377939082646936</v>
      </c>
      <c r="K71" s="183">
        <v>212695.0</v>
      </c>
      <c r="L71" s="185">
        <v>88746.0</v>
      </c>
      <c r="M71" s="185">
        <v>41923.0</v>
      </c>
      <c r="N71" s="185">
        <v>24118.0</v>
      </c>
      <c r="O71" s="185">
        <v>78403.0</v>
      </c>
      <c r="P71" s="185">
        <v>144181.0</v>
      </c>
      <c r="Q71" s="185">
        <v>21933.0</v>
      </c>
      <c r="R71" s="185">
        <v>9664.0</v>
      </c>
      <c r="S71" s="185">
        <v>110640.0</v>
      </c>
    </row>
    <row r="72" ht="14.25" customHeight="1">
      <c r="A72" s="181" t="s">
        <v>150</v>
      </c>
      <c r="B72" s="182">
        <v>928.0</v>
      </c>
      <c r="C72" s="182" t="s">
        <v>172</v>
      </c>
      <c r="D72" s="183">
        <v>748589.0</v>
      </c>
      <c r="E72" s="183">
        <v>378945.0</v>
      </c>
      <c r="F72" s="274">
        <v>0.10774403577931281</v>
      </c>
      <c r="G72" s="183">
        <v>80656.0</v>
      </c>
      <c r="H72" s="274">
        <v>0.06147966374071754</v>
      </c>
      <c r="I72" s="183">
        <v>46023.0</v>
      </c>
      <c r="J72" s="274">
        <v>0.32456394630431384</v>
      </c>
      <c r="K72" s="183">
        <v>242965.0</v>
      </c>
      <c r="L72" s="185">
        <v>85400.0</v>
      </c>
      <c r="M72" s="185">
        <v>29404.0</v>
      </c>
      <c r="N72" s="185">
        <v>22908.0</v>
      </c>
      <c r="O72" s="185">
        <v>94841.0</v>
      </c>
      <c r="P72" s="185">
        <v>146547.0</v>
      </c>
      <c r="Q72" s="185">
        <v>17339.0</v>
      </c>
      <c r="R72" s="185">
        <v>3715.0</v>
      </c>
      <c r="S72" s="185">
        <v>47699.0</v>
      </c>
    </row>
    <row r="73" ht="14.25" customHeight="1">
      <c r="A73" s="181" t="s">
        <v>150</v>
      </c>
      <c r="B73" s="182">
        <v>741.0</v>
      </c>
      <c r="C73" s="182" t="s">
        <v>173</v>
      </c>
      <c r="D73" s="183">
        <v>42684.0</v>
      </c>
      <c r="E73" s="183">
        <v>14802.0</v>
      </c>
      <c r="F73" s="274">
        <v>0.04709024458813607</v>
      </c>
      <c r="G73" s="183">
        <v>2010.0</v>
      </c>
      <c r="H73" s="274">
        <v>0.40024365101677445</v>
      </c>
      <c r="I73" s="183">
        <v>17084.0</v>
      </c>
      <c r="J73" s="274">
        <v>0.2058851091743979</v>
      </c>
      <c r="K73" s="183">
        <v>8788.0</v>
      </c>
      <c r="L73" s="185">
        <v>5608.0</v>
      </c>
      <c r="M73" s="185">
        <v>541.0</v>
      </c>
      <c r="N73" s="185">
        <v>3862.0</v>
      </c>
      <c r="O73" s="185">
        <v>2173.0</v>
      </c>
      <c r="P73" s="185">
        <v>7007.0</v>
      </c>
      <c r="Q73" s="185">
        <v>1102.0</v>
      </c>
      <c r="R73" s="185">
        <v>7447.0</v>
      </c>
      <c r="S73" s="185">
        <v>5228.0</v>
      </c>
    </row>
    <row r="74" ht="14.25" customHeight="1">
      <c r="A74" s="181" t="s">
        <v>155</v>
      </c>
      <c r="B74" s="182">
        <v>716.0</v>
      </c>
      <c r="C74" s="182" t="s">
        <v>174</v>
      </c>
      <c r="D74" s="183">
        <v>55160.0</v>
      </c>
      <c r="E74" s="183">
        <v>5282.0</v>
      </c>
      <c r="F74" s="274">
        <v>0.011947063089195069</v>
      </c>
      <c r="G74" s="183">
        <v>659.0</v>
      </c>
      <c r="H74" s="274">
        <v>0.8791153009427121</v>
      </c>
      <c r="I74" s="183">
        <v>48492.0</v>
      </c>
      <c r="J74" s="274">
        <v>0.013179840464104423</v>
      </c>
      <c r="K74" s="183">
        <v>727.0</v>
      </c>
      <c r="L74" s="185">
        <v>1012.0</v>
      </c>
      <c r="M74" s="185">
        <v>136.0</v>
      </c>
      <c r="N74" s="185">
        <v>21265.0</v>
      </c>
      <c r="O74" s="185">
        <v>136.0</v>
      </c>
      <c r="P74" s="185">
        <v>1765.0</v>
      </c>
      <c r="Q74" s="185">
        <v>189.0</v>
      </c>
      <c r="R74" s="185">
        <v>10081.0</v>
      </c>
      <c r="S74" s="185">
        <v>174.0</v>
      </c>
    </row>
    <row r="75" ht="14.25" customHeight="1">
      <c r="A75" s="181" t="s">
        <v>150</v>
      </c>
      <c r="B75" s="182">
        <v>765.0</v>
      </c>
      <c r="C75" s="182" t="s">
        <v>175</v>
      </c>
      <c r="D75" s="183">
        <v>23366.0</v>
      </c>
      <c r="E75" s="183">
        <v>371.0</v>
      </c>
      <c r="F75" s="274">
        <v>0.0053496533424634085</v>
      </c>
      <c r="G75" s="183">
        <v>125.0</v>
      </c>
      <c r="H75" s="274">
        <v>0.973251733287683</v>
      </c>
      <c r="I75" s="183">
        <v>22741.0</v>
      </c>
      <c r="J75" s="274">
        <v>0.005520842249422238</v>
      </c>
      <c r="K75" s="183">
        <v>129.0</v>
      </c>
      <c r="L75" s="185">
        <v>113.0</v>
      </c>
      <c r="M75" s="185">
        <v>31.0</v>
      </c>
      <c r="N75" s="185">
        <v>13171.0</v>
      </c>
      <c r="O75" s="185">
        <v>42.0</v>
      </c>
      <c r="P75" s="185">
        <v>97.0</v>
      </c>
      <c r="Q75" s="185">
        <v>46.0</v>
      </c>
      <c r="R75" s="185">
        <v>7209.0</v>
      </c>
      <c r="S75" s="185">
        <v>23.0</v>
      </c>
    </row>
    <row r="76" ht="14.25" customHeight="1">
      <c r="A76" s="181" t="s">
        <v>150</v>
      </c>
      <c r="B76" s="182">
        <v>728.0</v>
      </c>
      <c r="C76" s="182" t="s">
        <v>176</v>
      </c>
      <c r="D76" s="183">
        <v>31402.0</v>
      </c>
      <c r="E76" s="183">
        <v>1889.0</v>
      </c>
      <c r="F76" s="274">
        <v>0.013534169798102031</v>
      </c>
      <c r="G76" s="183">
        <v>425.0</v>
      </c>
      <c r="H76" s="274">
        <v>0.9082224062161646</v>
      </c>
      <c r="I76" s="183">
        <v>28520.0</v>
      </c>
      <c r="J76" s="274">
        <v>0.018088019871345774</v>
      </c>
      <c r="K76" s="183">
        <v>568.0</v>
      </c>
      <c r="L76" s="185">
        <v>163.0</v>
      </c>
      <c r="M76" s="185">
        <v>63.0</v>
      </c>
      <c r="N76" s="185">
        <v>18437.0</v>
      </c>
      <c r="O76" s="185">
        <v>63.0</v>
      </c>
      <c r="P76" s="185">
        <v>1651.0</v>
      </c>
      <c r="Q76" s="185">
        <v>291.0</v>
      </c>
      <c r="R76" s="185">
        <v>9995.0</v>
      </c>
      <c r="S76" s="185">
        <v>402.0</v>
      </c>
    </row>
    <row r="77" ht="14.25" customHeight="1">
      <c r="A77" s="181" t="s">
        <v>153</v>
      </c>
      <c r="B77" s="182">
        <v>877.0</v>
      </c>
      <c r="C77" s="182" t="s">
        <v>177</v>
      </c>
      <c r="D77" s="183">
        <v>331336.0</v>
      </c>
      <c r="E77" s="183">
        <v>106008.0</v>
      </c>
      <c r="F77" s="274">
        <v>0.12401610449815294</v>
      </c>
      <c r="G77" s="183">
        <v>41091.0</v>
      </c>
      <c r="H77" s="274">
        <v>0.12402515875123742</v>
      </c>
      <c r="I77" s="183">
        <v>41094.0</v>
      </c>
      <c r="J77" s="274">
        <v>0.432017649757346</v>
      </c>
      <c r="K77" s="183">
        <v>143143.0</v>
      </c>
      <c r="L77" s="185">
        <v>48623.0</v>
      </c>
      <c r="M77" s="185">
        <v>33552.0</v>
      </c>
      <c r="N77" s="185">
        <v>34483.0</v>
      </c>
      <c r="O77" s="185">
        <v>83419.0</v>
      </c>
      <c r="P77" s="185">
        <v>36541.0</v>
      </c>
      <c r="Q77" s="185">
        <v>4350.0</v>
      </c>
      <c r="R77" s="185">
        <v>2825.0</v>
      </c>
      <c r="S77" s="185">
        <v>35156.0</v>
      </c>
    </row>
    <row r="78" ht="14.25" customHeight="1">
      <c r="A78" s="181" t="s">
        <v>159</v>
      </c>
      <c r="B78" s="182">
        <v>897.0</v>
      </c>
      <c r="C78" s="182" t="s">
        <v>178</v>
      </c>
      <c r="D78" s="183">
        <v>12355.0</v>
      </c>
      <c r="E78" s="183">
        <v>1426.0</v>
      </c>
      <c r="F78" s="274">
        <v>0.1273168757588021</v>
      </c>
      <c r="G78" s="183">
        <v>1573.0</v>
      </c>
      <c r="H78" s="274">
        <v>0.0014569000404694456</v>
      </c>
      <c r="I78" s="183">
        <v>18.0</v>
      </c>
      <c r="J78" s="274">
        <v>0.7558073654390934</v>
      </c>
      <c r="K78" s="183">
        <v>9338.0</v>
      </c>
      <c r="L78" s="185">
        <v>383.0</v>
      </c>
      <c r="M78" s="185">
        <v>718.0</v>
      </c>
      <c r="N78" s="185">
        <v>2.0</v>
      </c>
      <c r="O78" s="185">
        <v>3421.0</v>
      </c>
      <c r="P78" s="185">
        <v>932.0</v>
      </c>
      <c r="Q78" s="185">
        <v>787.0</v>
      </c>
      <c r="R78" s="185">
        <v>10.0</v>
      </c>
      <c r="S78" s="185">
        <v>5033.0</v>
      </c>
    </row>
    <row r="79" ht="14.25" customHeight="1">
      <c r="A79" s="181" t="s">
        <v>148</v>
      </c>
      <c r="B79" s="182">
        <v>928.0</v>
      </c>
      <c r="C79" s="182" t="s">
        <v>179</v>
      </c>
      <c r="D79" s="183">
        <v>257134.0</v>
      </c>
      <c r="E79" s="183">
        <v>177392.0</v>
      </c>
      <c r="F79" s="274">
        <v>0.1724859411824185</v>
      </c>
      <c r="G79" s="183">
        <v>44352.0</v>
      </c>
      <c r="H79" s="274">
        <v>6.416887692798308E-4</v>
      </c>
      <c r="I79" s="183">
        <v>165.0</v>
      </c>
      <c r="J79" s="274">
        <v>0.13699082968413356</v>
      </c>
      <c r="K79" s="183">
        <v>35225.0</v>
      </c>
      <c r="L79" s="185">
        <v>68045.0</v>
      </c>
      <c r="M79" s="185">
        <v>158.0</v>
      </c>
      <c r="N79" s="185">
        <v>0.0</v>
      </c>
      <c r="O79" s="185">
        <v>162.0</v>
      </c>
      <c r="P79" s="185">
        <v>103690.0</v>
      </c>
      <c r="Q79" s="185">
        <v>12258.0</v>
      </c>
      <c r="R79" s="185">
        <v>70.0</v>
      </c>
      <c r="S79" s="185">
        <v>14611.0</v>
      </c>
    </row>
    <row r="80" ht="14.25" customHeight="1">
      <c r="A80" s="181" t="s">
        <v>155</v>
      </c>
      <c r="B80" s="182">
        <v>903.0</v>
      </c>
      <c r="C80" s="182" t="s">
        <v>180</v>
      </c>
      <c r="D80" s="183">
        <v>724525.0</v>
      </c>
      <c r="E80" s="183">
        <v>241524.0</v>
      </c>
      <c r="F80" s="274">
        <v>0.14285497394844898</v>
      </c>
      <c r="G80" s="183">
        <v>103502.0</v>
      </c>
      <c r="H80" s="274">
        <v>0.10093371519271246</v>
      </c>
      <c r="I80" s="183">
        <v>73129.0</v>
      </c>
      <c r="J80" s="274">
        <v>0.4228563541630724</v>
      </c>
      <c r="K80" s="183">
        <v>306370.0</v>
      </c>
      <c r="L80" s="185">
        <v>100776.0</v>
      </c>
      <c r="M80" s="185">
        <v>64672.0</v>
      </c>
      <c r="N80" s="185">
        <v>57265.0</v>
      </c>
      <c r="O80" s="185">
        <v>160355.0</v>
      </c>
      <c r="P80" s="185">
        <v>137011.0</v>
      </c>
      <c r="Q80" s="185">
        <v>37955.0</v>
      </c>
      <c r="R80" s="185">
        <v>11777.0</v>
      </c>
      <c r="S80" s="185">
        <v>139747.0</v>
      </c>
    </row>
    <row r="81" ht="14.25" customHeight="1">
      <c r="A81" s="181" t="s">
        <v>150</v>
      </c>
      <c r="B81" s="182">
        <v>751.0</v>
      </c>
      <c r="C81" s="182" t="s">
        <v>181</v>
      </c>
      <c r="D81" s="183">
        <v>13613.0</v>
      </c>
      <c r="E81" s="183">
        <v>1491.0</v>
      </c>
      <c r="F81" s="274">
        <v>0.03386468816572394</v>
      </c>
      <c r="G81" s="183">
        <v>461.0</v>
      </c>
      <c r="H81" s="274">
        <v>0.4176155145816499</v>
      </c>
      <c r="I81" s="183">
        <v>5685.0</v>
      </c>
      <c r="J81" s="274">
        <v>0.43899213986630425</v>
      </c>
      <c r="K81" s="183">
        <v>5976.0</v>
      </c>
      <c r="L81" s="185">
        <v>795.0</v>
      </c>
      <c r="M81" s="185">
        <v>228.0</v>
      </c>
      <c r="N81" s="185">
        <v>4188.0</v>
      </c>
      <c r="O81" s="185">
        <v>4293.0</v>
      </c>
      <c r="P81" s="185">
        <v>554.0</v>
      </c>
      <c r="Q81" s="185">
        <v>210.0</v>
      </c>
      <c r="R81" s="185">
        <v>1245.0</v>
      </c>
      <c r="S81" s="185">
        <v>1514.0</v>
      </c>
    </row>
    <row r="82" ht="14.25" customHeight="1">
      <c r="A82" s="181" t="s">
        <v>148</v>
      </c>
      <c r="B82" s="182">
        <v>855.0</v>
      </c>
      <c r="C82" s="182" t="s">
        <v>182</v>
      </c>
      <c r="D82" s="183">
        <v>569920.0</v>
      </c>
      <c r="E82" s="183">
        <v>55711.0</v>
      </c>
      <c r="F82" s="274">
        <v>0.1567448062886019</v>
      </c>
      <c r="G82" s="183">
        <v>89332.0</v>
      </c>
      <c r="H82" s="274">
        <v>0.004855067377877597</v>
      </c>
      <c r="I82" s="183">
        <v>2767.0</v>
      </c>
      <c r="J82" s="274">
        <v>0.7406478102189781</v>
      </c>
      <c r="K82" s="183">
        <v>422110.0</v>
      </c>
      <c r="L82" s="185">
        <v>11864.0</v>
      </c>
      <c r="M82" s="185">
        <v>38874.0</v>
      </c>
      <c r="N82" s="185">
        <v>1671.0</v>
      </c>
      <c r="O82" s="185">
        <v>167470.0</v>
      </c>
      <c r="P82" s="185">
        <v>36121.0</v>
      </c>
      <c r="Q82" s="185">
        <v>38897.0</v>
      </c>
      <c r="R82" s="185">
        <v>647.0</v>
      </c>
      <c r="S82" s="185">
        <v>182560.0</v>
      </c>
    </row>
    <row r="83" ht="14.25" customHeight="1">
      <c r="A83" s="181" t="s">
        <v>150</v>
      </c>
      <c r="B83" s="182">
        <v>754.0</v>
      </c>
      <c r="C83" s="182" t="s">
        <v>183</v>
      </c>
      <c r="D83" s="183">
        <v>320894.0</v>
      </c>
      <c r="E83" s="183">
        <v>111143.0</v>
      </c>
      <c r="F83" s="274">
        <v>0.13459584785006887</v>
      </c>
      <c r="G83" s="183">
        <v>43191.0</v>
      </c>
      <c r="H83" s="274">
        <v>0.07198950432229957</v>
      </c>
      <c r="I83" s="183">
        <v>23101.0</v>
      </c>
      <c r="J83" s="274">
        <v>0.4470604000074791</v>
      </c>
      <c r="K83" s="183">
        <v>143459.0</v>
      </c>
      <c r="L83" s="185">
        <v>29986.0</v>
      </c>
      <c r="M83" s="185">
        <v>19980.0</v>
      </c>
      <c r="N83" s="185">
        <v>12764.0</v>
      </c>
      <c r="O83" s="185">
        <v>65002.0</v>
      </c>
      <c r="P83" s="185">
        <v>77227.0</v>
      </c>
      <c r="Q83" s="185">
        <v>21340.0</v>
      </c>
      <c r="R83" s="185">
        <v>4452.0</v>
      </c>
      <c r="S83" s="185">
        <v>73866.0</v>
      </c>
    </row>
    <row r="84" ht="14.25" customHeight="1">
      <c r="A84" s="181" t="s">
        <v>148</v>
      </c>
      <c r="B84" s="182">
        <v>834.0</v>
      </c>
      <c r="C84" s="182" t="s">
        <v>184</v>
      </c>
      <c r="D84" s="183">
        <v>36433.0</v>
      </c>
      <c r="E84" s="183">
        <v>11837.0</v>
      </c>
      <c r="F84" s="274">
        <v>0.15894930420223424</v>
      </c>
      <c r="G84" s="183">
        <v>5791.0</v>
      </c>
      <c r="H84" s="274">
        <v>0.3333241841187934</v>
      </c>
      <c r="I84" s="183">
        <v>12144.0</v>
      </c>
      <c r="J84" s="274">
        <v>0.1828287541514561</v>
      </c>
      <c r="K84" s="183">
        <v>6661.0</v>
      </c>
      <c r="L84" s="185">
        <v>8369.0</v>
      </c>
      <c r="M84" s="185">
        <v>4936.0</v>
      </c>
      <c r="N84" s="185">
        <v>9094.0</v>
      </c>
      <c r="O84" s="185">
        <v>5160.0</v>
      </c>
      <c r="P84" s="185">
        <v>2211.0</v>
      </c>
      <c r="Q84" s="185">
        <v>453.0</v>
      </c>
      <c r="R84" s="185">
        <v>2454.0</v>
      </c>
      <c r="S84" s="185">
        <v>1073.0</v>
      </c>
    </row>
    <row r="85" ht="14.25" customHeight="1">
      <c r="A85" s="181" t="s">
        <v>159</v>
      </c>
      <c r="B85" s="182">
        <v>851.0</v>
      </c>
      <c r="C85" s="182" t="s">
        <v>185</v>
      </c>
      <c r="D85" s="183">
        <v>1507828.0</v>
      </c>
      <c r="E85" s="183">
        <v>659900.0</v>
      </c>
      <c r="F85" s="274">
        <v>0.13934082667253825</v>
      </c>
      <c r="G85" s="183">
        <v>210102.0</v>
      </c>
      <c r="H85" s="274">
        <v>0.004532347190793645</v>
      </c>
      <c r="I85" s="183">
        <v>6834.0</v>
      </c>
      <c r="J85" s="274">
        <v>0.4184774390712999</v>
      </c>
      <c r="K85" s="183">
        <v>630992.0</v>
      </c>
      <c r="L85" s="185">
        <v>224420.0</v>
      </c>
      <c r="M85" s="185">
        <v>125116.0</v>
      </c>
      <c r="N85" s="185">
        <v>3044.0</v>
      </c>
      <c r="O85" s="185">
        <v>272294.0</v>
      </c>
      <c r="P85" s="185">
        <v>42835.0</v>
      </c>
      <c r="Q85" s="185">
        <v>4071.0</v>
      </c>
      <c r="R85" s="185">
        <v>950.0</v>
      </c>
      <c r="S85" s="185">
        <v>8473.0</v>
      </c>
    </row>
    <row r="86" ht="14.25" customHeight="1">
      <c r="A86" s="181" t="s">
        <v>159</v>
      </c>
      <c r="B86" s="182">
        <v>719.0</v>
      </c>
      <c r="C86" s="182" t="s">
        <v>186</v>
      </c>
      <c r="D86" s="183">
        <v>123192.0</v>
      </c>
      <c r="E86" s="183">
        <v>83315.0</v>
      </c>
      <c r="F86" s="274">
        <v>0.12574680174037275</v>
      </c>
      <c r="G86" s="183">
        <v>15491.0</v>
      </c>
      <c r="H86" s="274">
        <v>0.025577959607766737</v>
      </c>
      <c r="I86" s="183">
        <v>3151.0</v>
      </c>
      <c r="J86" s="274">
        <v>0.17237320605234105</v>
      </c>
      <c r="K86" s="183">
        <v>21235.0</v>
      </c>
      <c r="L86" s="185">
        <v>35065.0</v>
      </c>
      <c r="M86" s="185">
        <v>10300.0</v>
      </c>
      <c r="N86" s="185">
        <v>2043.0</v>
      </c>
      <c r="O86" s="185">
        <v>9874.0</v>
      </c>
      <c r="P86" s="185">
        <v>352207.0</v>
      </c>
      <c r="Q86" s="185">
        <v>65081.0</v>
      </c>
      <c r="R86" s="185">
        <v>3191.0</v>
      </c>
      <c r="S86" s="185">
        <v>283470.0</v>
      </c>
    </row>
    <row r="87" ht="14.25" customHeight="1">
      <c r="A87" s="181" t="s">
        <v>153</v>
      </c>
      <c r="B87" s="182">
        <v>866.0</v>
      </c>
      <c r="C87" s="182" t="s">
        <v>187</v>
      </c>
      <c r="D87" s="183">
        <v>581687.0</v>
      </c>
      <c r="E87" s="183">
        <v>346739.0</v>
      </c>
      <c r="F87" s="274">
        <v>0.20743114424080306</v>
      </c>
      <c r="G87" s="183">
        <v>120660.0</v>
      </c>
      <c r="H87" s="274">
        <v>0.04457895741180394</v>
      </c>
      <c r="I87" s="183">
        <v>25931.0</v>
      </c>
      <c r="J87" s="274">
        <v>0.1518978419665559</v>
      </c>
      <c r="K87" s="183">
        <v>88357.0</v>
      </c>
      <c r="L87" s="185">
        <v>270456.0</v>
      </c>
      <c r="M87" s="185">
        <v>109262.0</v>
      </c>
      <c r="N87" s="185">
        <v>22492.0</v>
      </c>
      <c r="O87" s="185">
        <v>69538.0</v>
      </c>
      <c r="P87" s="185">
        <v>66345.0</v>
      </c>
      <c r="Q87" s="185">
        <v>9371.0</v>
      </c>
      <c r="R87" s="185">
        <v>3068.0</v>
      </c>
      <c r="S87" s="185">
        <v>15303.0</v>
      </c>
    </row>
    <row r="88" ht="14.25" customHeight="1">
      <c r="C88" s="380" t="s">
        <v>67</v>
      </c>
      <c r="D88" s="237">
        <v>9507103.0</v>
      </c>
      <c r="E88" s="237">
        <v>3948792.0</v>
      </c>
      <c r="F88" s="274">
        <v>0.12457075515012302</v>
      </c>
      <c r="G88" s="237">
        <v>1184307.0</v>
      </c>
      <c r="H88" s="274">
        <v>0.07644053083257854</v>
      </c>
      <c r="I88" s="237">
        <v>726728.0</v>
      </c>
      <c r="J88" s="274">
        <v>0.38363695018345756</v>
      </c>
      <c r="K88" s="237">
        <v>3647276.0</v>
      </c>
      <c r="L88" s="237">
        <v>1625413.0</v>
      </c>
      <c r="M88" s="237">
        <v>722126.0</v>
      </c>
      <c r="N88" s="237">
        <v>467655.0</v>
      </c>
      <c r="O88" s="237">
        <v>1816426.0</v>
      </c>
      <c r="P88" s="237">
        <v>1802690.0</v>
      </c>
      <c r="Q88" s="237">
        <v>316292.0</v>
      </c>
      <c r="R88" s="237">
        <v>124439.0</v>
      </c>
      <c r="S88" s="237">
        <v>1297226.0</v>
      </c>
    </row>
    <row r="89" ht="14.25" customHeight="1"/>
    <row r="90" ht="14.25" customHeight="1"/>
    <row r="91" ht="14.25" customHeight="1">
      <c r="A91" s="18" t="s">
        <v>63</v>
      </c>
      <c r="B91" s="19" t="s">
        <v>64</v>
      </c>
      <c r="C91" s="20"/>
      <c r="D91" s="21"/>
      <c r="E91" s="92"/>
    </row>
    <row r="92" ht="14.25" customHeight="1">
      <c r="A92" s="23"/>
      <c r="B92" s="25" t="s">
        <v>67</v>
      </c>
      <c r="C92" s="25" t="s">
        <v>68</v>
      </c>
      <c r="D92" s="27" t="s">
        <v>69</v>
      </c>
      <c r="E92" s="165"/>
      <c r="F92" s="165"/>
      <c r="G92" s="165"/>
      <c r="H92" s="165"/>
    </row>
    <row r="93" ht="14.25" customHeight="1">
      <c r="A93" s="29" t="s">
        <v>38</v>
      </c>
      <c r="B93" s="31">
        <v>779065.0</v>
      </c>
      <c r="C93" s="31">
        <v>720366.0</v>
      </c>
      <c r="D93" s="41">
        <v>58699.0</v>
      </c>
      <c r="E93" s="584"/>
      <c r="F93" s="584"/>
      <c r="G93" s="584"/>
      <c r="H93" s="584"/>
    </row>
    <row r="94" ht="14.25" customHeight="1">
      <c r="A94" s="29" t="s">
        <v>73</v>
      </c>
      <c r="B94" s="31">
        <v>243321.0</v>
      </c>
      <c r="C94" s="31">
        <v>220204.0</v>
      </c>
      <c r="D94" s="41">
        <v>23117.0</v>
      </c>
      <c r="E94" s="584"/>
      <c r="F94" s="584"/>
      <c r="G94" s="584"/>
      <c r="H94" s="584"/>
    </row>
    <row r="95" ht="14.25" customHeight="1">
      <c r="A95" s="29" t="s">
        <v>42</v>
      </c>
      <c r="B95" s="31">
        <v>82480.0</v>
      </c>
      <c r="C95" s="31">
        <v>55411.0</v>
      </c>
      <c r="D95" s="41">
        <v>27069.0</v>
      </c>
      <c r="E95" s="584"/>
      <c r="F95" s="584"/>
      <c r="G95" s="584"/>
      <c r="H95" s="584"/>
    </row>
    <row r="96" ht="14.25" customHeight="1">
      <c r="A96" s="29" t="s">
        <v>74</v>
      </c>
      <c r="B96" s="31">
        <v>335844.0</v>
      </c>
      <c r="C96" s="31">
        <v>203852.0</v>
      </c>
      <c r="D96" s="41">
        <v>131992.0</v>
      </c>
      <c r="E96" s="584"/>
      <c r="F96" s="584"/>
      <c r="G96" s="584"/>
      <c r="H96" s="584"/>
    </row>
    <row r="97" ht="14.25" customHeight="1">
      <c r="A97" s="29" t="s">
        <v>75</v>
      </c>
      <c r="B97" s="31">
        <v>19965.0</v>
      </c>
      <c r="C97" s="31">
        <v>13391.0</v>
      </c>
      <c r="D97" s="41">
        <v>6574.0</v>
      </c>
      <c r="E97" s="584"/>
      <c r="F97" s="584"/>
      <c r="G97" s="584"/>
      <c r="H97" s="584"/>
    </row>
    <row r="98" ht="14.25" customHeight="1">
      <c r="A98" s="29" t="s">
        <v>48</v>
      </c>
      <c r="B98" s="31">
        <v>28440.0</v>
      </c>
      <c r="C98" s="31">
        <v>21564.0</v>
      </c>
      <c r="D98" s="41">
        <v>6876.0</v>
      </c>
      <c r="E98" s="584"/>
      <c r="F98" s="584"/>
      <c r="G98" s="584"/>
      <c r="H98" s="584"/>
    </row>
    <row r="99" ht="14.25" customHeight="1">
      <c r="A99" s="42" t="s">
        <v>67</v>
      </c>
      <c r="B99" s="43">
        <v>1489115.0</v>
      </c>
      <c r="C99" s="43">
        <v>1234788.0</v>
      </c>
      <c r="D99" s="46">
        <v>254327.0</v>
      </c>
      <c r="E99" s="90"/>
      <c r="F99" s="90"/>
      <c r="G99" s="90"/>
      <c r="H99" s="90"/>
    </row>
    <row r="100" ht="14.25" customHeight="1"/>
    <row r="101" ht="14.25" customHeight="1"/>
    <row r="102" ht="14.25" customHeight="1">
      <c r="A102" s="18" t="s">
        <v>63</v>
      </c>
      <c r="B102" s="19" t="s">
        <v>64</v>
      </c>
      <c r="C102" s="20"/>
      <c r="D102" s="20"/>
      <c r="E102" s="21"/>
    </row>
    <row r="103" ht="39.0" customHeight="1">
      <c r="A103" s="23"/>
      <c r="B103" s="25" t="s">
        <v>67</v>
      </c>
      <c r="C103" s="25" t="s">
        <v>70</v>
      </c>
      <c r="D103" s="25" t="s">
        <v>71</v>
      </c>
      <c r="E103" s="25" t="s">
        <v>72</v>
      </c>
    </row>
    <row r="104" ht="14.25" customHeight="1">
      <c r="A104" s="29" t="s">
        <v>38</v>
      </c>
      <c r="B104" s="31">
        <v>779065.0</v>
      </c>
      <c r="C104" s="31">
        <v>618031.0</v>
      </c>
      <c r="D104" s="31">
        <v>33342.0</v>
      </c>
      <c r="E104" s="31">
        <v>127692.0</v>
      </c>
    </row>
    <row r="105" ht="14.25" customHeight="1">
      <c r="A105" s="29" t="s">
        <v>73</v>
      </c>
      <c r="B105" s="31">
        <v>243321.0</v>
      </c>
      <c r="C105" s="31">
        <v>220260.0</v>
      </c>
      <c r="D105" s="31">
        <v>6032.0</v>
      </c>
      <c r="E105" s="31">
        <v>17029.0</v>
      </c>
    </row>
    <row r="106" ht="14.25" customHeight="1">
      <c r="A106" s="29" t="s">
        <v>42</v>
      </c>
      <c r="B106" s="31">
        <v>82480.0</v>
      </c>
      <c r="C106" s="31">
        <v>29702.0</v>
      </c>
      <c r="D106" s="31">
        <v>13195.0</v>
      </c>
      <c r="E106" s="31">
        <v>39583.0</v>
      </c>
    </row>
    <row r="107" ht="14.25" customHeight="1">
      <c r="A107" s="29" t="s">
        <v>74</v>
      </c>
      <c r="B107" s="31">
        <v>335844.0</v>
      </c>
      <c r="C107" s="31">
        <v>192237.0</v>
      </c>
      <c r="D107" s="31">
        <v>82077.0</v>
      </c>
      <c r="E107" s="31">
        <v>61530.0</v>
      </c>
    </row>
    <row r="108" ht="14.25" customHeight="1">
      <c r="A108" s="29" t="s">
        <v>75</v>
      </c>
      <c r="B108" s="31">
        <v>19965.0</v>
      </c>
      <c r="C108" s="31">
        <v>17059.0</v>
      </c>
      <c r="D108" s="31">
        <v>2251.0</v>
      </c>
      <c r="E108" s="31">
        <v>655.0</v>
      </c>
    </row>
    <row r="109" ht="14.25" customHeight="1">
      <c r="A109" s="29" t="s">
        <v>48</v>
      </c>
      <c r="B109" s="31">
        <v>28440.0</v>
      </c>
      <c r="C109" s="31">
        <v>25263.0</v>
      </c>
      <c r="D109" s="31">
        <v>1405.0</v>
      </c>
      <c r="E109" s="31">
        <v>1772.0</v>
      </c>
    </row>
    <row r="110" ht="14.25" customHeight="1">
      <c r="A110" s="42" t="s">
        <v>67</v>
      </c>
      <c r="B110" s="43">
        <v>1489115.0</v>
      </c>
      <c r="C110" s="43">
        <v>1102552.0</v>
      </c>
      <c r="D110" s="43">
        <v>138302.0</v>
      </c>
      <c r="E110" s="43">
        <v>248261.0</v>
      </c>
    </row>
    <row r="111" ht="14.25" customHeight="1"/>
    <row r="112" ht="14.25" customHeight="1"/>
    <row r="113" ht="14.25" customHeight="1">
      <c r="A113" s="585" t="s">
        <v>904</v>
      </c>
      <c r="B113" s="19" t="s">
        <v>38</v>
      </c>
      <c r="C113" s="20"/>
      <c r="D113" s="21"/>
      <c r="E113" s="19" t="s">
        <v>73</v>
      </c>
      <c r="F113" s="20"/>
      <c r="G113" s="21"/>
      <c r="H113" s="72" t="s">
        <v>42</v>
      </c>
      <c r="I113" s="20"/>
      <c r="J113" s="21"/>
      <c r="K113" s="72" t="s">
        <v>74</v>
      </c>
      <c r="L113" s="20"/>
      <c r="M113" s="21"/>
      <c r="N113" s="19" t="s">
        <v>75</v>
      </c>
      <c r="O113" s="20"/>
      <c r="P113" s="21"/>
      <c r="Q113" s="19" t="s">
        <v>48</v>
      </c>
      <c r="R113" s="20"/>
      <c r="S113" s="21"/>
      <c r="T113" s="22" t="s">
        <v>67</v>
      </c>
      <c r="U113" s="20"/>
      <c r="V113" s="21"/>
    </row>
    <row r="114" ht="14.25" customHeight="1">
      <c r="A114" s="23"/>
      <c r="B114" s="586" t="s">
        <v>67</v>
      </c>
      <c r="C114" s="586" t="s">
        <v>68</v>
      </c>
      <c r="D114" s="586" t="s">
        <v>69</v>
      </c>
      <c r="E114" s="586" t="s">
        <v>67</v>
      </c>
      <c r="F114" s="586" t="s">
        <v>68</v>
      </c>
      <c r="G114" s="586" t="s">
        <v>69</v>
      </c>
      <c r="H114" s="586" t="s">
        <v>67</v>
      </c>
      <c r="I114" s="586" t="s">
        <v>68</v>
      </c>
      <c r="J114" s="586" t="s">
        <v>69</v>
      </c>
      <c r="K114" s="586" t="s">
        <v>67</v>
      </c>
      <c r="L114" s="586" t="s">
        <v>68</v>
      </c>
      <c r="M114" s="586" t="s">
        <v>69</v>
      </c>
      <c r="N114" s="586" t="s">
        <v>67</v>
      </c>
      <c r="O114" s="586" t="s">
        <v>68</v>
      </c>
      <c r="P114" s="586" t="s">
        <v>69</v>
      </c>
      <c r="Q114" s="586" t="s">
        <v>67</v>
      </c>
      <c r="R114" s="586" t="s">
        <v>68</v>
      </c>
      <c r="S114" s="586" t="s">
        <v>69</v>
      </c>
      <c r="T114" s="587" t="s">
        <v>67</v>
      </c>
      <c r="U114" s="588" t="s">
        <v>68</v>
      </c>
      <c r="V114" s="589" t="s">
        <v>69</v>
      </c>
    </row>
    <row r="115" ht="14.25" customHeight="1">
      <c r="A115" s="29" t="s">
        <v>91</v>
      </c>
      <c r="B115" s="32">
        <f t="shared" ref="B115:B118" si="2">C115+D115</f>
        <v>618031</v>
      </c>
      <c r="C115" s="32">
        <v>577022.0</v>
      </c>
      <c r="D115" s="32">
        <v>41009.0</v>
      </c>
      <c r="E115" s="32">
        <f t="shared" ref="E115:E118" si="3">F115+G115</f>
        <v>220260</v>
      </c>
      <c r="F115" s="32">
        <v>201884.0</v>
      </c>
      <c r="G115" s="32">
        <v>18376.0</v>
      </c>
      <c r="H115" s="32">
        <f t="shared" ref="H115:H118" si="4">I115+J115</f>
        <v>29702</v>
      </c>
      <c r="I115" s="32">
        <v>17705.0</v>
      </c>
      <c r="J115" s="32">
        <v>11997.0</v>
      </c>
      <c r="K115" s="32">
        <f t="shared" ref="K115:K118" si="5">L115+M115</f>
        <v>192237</v>
      </c>
      <c r="L115" s="32">
        <v>121993.0</v>
      </c>
      <c r="M115" s="32">
        <v>70244.0</v>
      </c>
      <c r="N115" s="31">
        <f t="shared" ref="N115:N118" si="6">O115+P115</f>
        <v>17059</v>
      </c>
      <c r="O115" s="31">
        <v>11418.0</v>
      </c>
      <c r="P115" s="31">
        <v>5641.0</v>
      </c>
      <c r="Q115" s="31">
        <f t="shared" ref="Q115:Q118" si="7">R115+S115</f>
        <v>25263</v>
      </c>
      <c r="R115" s="31">
        <v>19016.0</v>
      </c>
      <c r="S115" s="31">
        <v>6247.0</v>
      </c>
      <c r="T115" s="590">
        <f t="shared" ref="T115:T118" si="8">U115+V115</f>
        <v>1102552</v>
      </c>
      <c r="U115" s="78">
        <f t="shared" ref="U115:V115" si="1">C115+F115+I115+L115+O115+R115</f>
        <v>949038</v>
      </c>
      <c r="V115" s="78">
        <f t="shared" si="1"/>
        <v>153514</v>
      </c>
    </row>
    <row r="116" ht="14.25" customHeight="1">
      <c r="A116" s="29" t="s">
        <v>92</v>
      </c>
      <c r="B116" s="32">
        <f t="shared" si="2"/>
        <v>33342</v>
      </c>
      <c r="C116" s="32">
        <v>29614.0</v>
      </c>
      <c r="D116" s="32">
        <v>3728.0</v>
      </c>
      <c r="E116" s="32">
        <f t="shared" si="3"/>
        <v>6032</v>
      </c>
      <c r="F116" s="32">
        <v>4243.0</v>
      </c>
      <c r="G116" s="32">
        <v>1789.0</v>
      </c>
      <c r="H116" s="32">
        <f t="shared" si="4"/>
        <v>13195</v>
      </c>
      <c r="I116" s="32">
        <v>8298.0</v>
      </c>
      <c r="J116" s="32">
        <v>4897.0</v>
      </c>
      <c r="K116" s="32">
        <f t="shared" si="5"/>
        <v>82077</v>
      </c>
      <c r="L116" s="32">
        <v>40518.0</v>
      </c>
      <c r="M116" s="32">
        <v>41559.0</v>
      </c>
      <c r="N116" s="31">
        <f t="shared" si="6"/>
        <v>2251</v>
      </c>
      <c r="O116" s="31">
        <v>1569.0</v>
      </c>
      <c r="P116" s="31">
        <v>682.0</v>
      </c>
      <c r="Q116" s="31">
        <f t="shared" si="7"/>
        <v>1405</v>
      </c>
      <c r="R116" s="31">
        <v>1005.0</v>
      </c>
      <c r="S116" s="31">
        <v>400.0</v>
      </c>
      <c r="T116" s="590">
        <f t="shared" si="8"/>
        <v>138302</v>
      </c>
      <c r="U116" s="78">
        <f t="shared" ref="U116:V116" si="9">C116+F116+I116+L116+O116+R116</f>
        <v>85247</v>
      </c>
      <c r="V116" s="78">
        <f t="shared" si="9"/>
        <v>53055</v>
      </c>
    </row>
    <row r="117" ht="14.25" customHeight="1">
      <c r="A117" s="29" t="s">
        <v>93</v>
      </c>
      <c r="B117" s="32">
        <f t="shared" si="2"/>
        <v>127692</v>
      </c>
      <c r="C117" s="32">
        <v>113730.0</v>
      </c>
      <c r="D117" s="32">
        <v>13962.0</v>
      </c>
      <c r="E117" s="32">
        <f t="shared" si="3"/>
        <v>17029</v>
      </c>
      <c r="F117" s="32">
        <v>14077.0</v>
      </c>
      <c r="G117" s="32">
        <v>2952.0</v>
      </c>
      <c r="H117" s="32">
        <f t="shared" si="4"/>
        <v>39583</v>
      </c>
      <c r="I117" s="32">
        <v>29408.0</v>
      </c>
      <c r="J117" s="32">
        <v>10175.0</v>
      </c>
      <c r="K117" s="32">
        <f t="shared" si="5"/>
        <v>61530</v>
      </c>
      <c r="L117" s="31">
        <v>41341.0</v>
      </c>
      <c r="M117" s="31">
        <v>20189.0</v>
      </c>
      <c r="N117" s="31">
        <f t="shared" si="6"/>
        <v>655</v>
      </c>
      <c r="O117" s="31">
        <v>404.0</v>
      </c>
      <c r="P117" s="31">
        <v>251.0</v>
      </c>
      <c r="Q117" s="31">
        <f t="shared" si="7"/>
        <v>1772</v>
      </c>
      <c r="R117" s="31">
        <v>1543.0</v>
      </c>
      <c r="S117" s="31">
        <v>229.0</v>
      </c>
      <c r="T117" s="590">
        <f t="shared" si="8"/>
        <v>248261</v>
      </c>
      <c r="U117" s="78">
        <f t="shared" ref="U117:V117" si="10">C117+F117+I117+L117+O117+R117</f>
        <v>200503</v>
      </c>
      <c r="V117" s="78">
        <f t="shared" si="10"/>
        <v>47758</v>
      </c>
    </row>
    <row r="118" ht="14.25" customHeight="1">
      <c r="A118" s="591" t="s">
        <v>67</v>
      </c>
      <c r="B118" s="83">
        <f t="shared" si="2"/>
        <v>779065</v>
      </c>
      <c r="C118" s="43">
        <v>720366.0</v>
      </c>
      <c r="D118" s="83">
        <v>58699.0</v>
      </c>
      <c r="E118" s="83">
        <f t="shared" si="3"/>
        <v>243321</v>
      </c>
      <c r="F118" s="43">
        <v>220204.0</v>
      </c>
      <c r="G118" s="83">
        <v>23117.0</v>
      </c>
      <c r="H118" s="83">
        <f t="shared" si="4"/>
        <v>82480</v>
      </c>
      <c r="I118" s="43">
        <v>55411.0</v>
      </c>
      <c r="J118" s="83">
        <v>27069.0</v>
      </c>
      <c r="K118" s="83">
        <f t="shared" si="5"/>
        <v>335844</v>
      </c>
      <c r="L118" s="43">
        <v>203852.0</v>
      </c>
      <c r="M118" s="83">
        <v>131992.0</v>
      </c>
      <c r="N118" s="43">
        <f t="shared" si="6"/>
        <v>19965</v>
      </c>
      <c r="O118" s="43">
        <v>13391.0</v>
      </c>
      <c r="P118" s="43">
        <v>6574.0</v>
      </c>
      <c r="Q118" s="43">
        <f t="shared" si="7"/>
        <v>28440</v>
      </c>
      <c r="R118" s="43">
        <v>21564.0</v>
      </c>
      <c r="S118" s="43">
        <v>6876.0</v>
      </c>
      <c r="T118" s="592">
        <f t="shared" si="8"/>
        <v>1489115</v>
      </c>
      <c r="U118" s="85">
        <f t="shared" ref="U118:V118" si="11">C118+F118+I118+L118+O118+R118</f>
        <v>1234788</v>
      </c>
      <c r="V118" s="85">
        <f t="shared" si="11"/>
        <v>254327</v>
      </c>
    </row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22">
    <mergeCell ref="C50:C51"/>
    <mergeCell ref="D50:S50"/>
    <mergeCell ref="A3:A4"/>
    <mergeCell ref="B3:B4"/>
    <mergeCell ref="C3:C4"/>
    <mergeCell ref="E3:G3"/>
    <mergeCell ref="H3:J3"/>
    <mergeCell ref="A50:A51"/>
    <mergeCell ref="B50:B51"/>
    <mergeCell ref="E113:G113"/>
    <mergeCell ref="H113:J113"/>
    <mergeCell ref="K113:M113"/>
    <mergeCell ref="N113:P113"/>
    <mergeCell ref="Q113:S113"/>
    <mergeCell ref="T113:V113"/>
    <mergeCell ref="A91:A92"/>
    <mergeCell ref="B91:D91"/>
    <mergeCell ref="E91:H91"/>
    <mergeCell ref="A102:A103"/>
    <mergeCell ref="B102:E102"/>
    <mergeCell ref="A113:A114"/>
    <mergeCell ref="B113:D113"/>
  </mergeCells>
  <conditionalFormatting sqref="F52:F88">
    <cfRule type="cellIs" dxfId="0" priority="1" operator="greaterThanOrEqual">
      <formula>"10%"</formula>
    </cfRule>
  </conditionalFormatting>
  <conditionalFormatting sqref="H52:H88">
    <cfRule type="cellIs" dxfId="0" priority="2" operator="greaterThanOrEqual">
      <formula>"15%"</formula>
    </cfRule>
  </conditionalFormatting>
  <conditionalFormatting sqref="J52:J88">
    <cfRule type="cellIs" dxfId="0" priority="3" operator="greaterThanOrEqual">
      <formula>"20%"</formula>
    </cfRule>
  </conditionalFormatting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4.71"/>
    <col customWidth="1" min="13" max="13" width="12.14"/>
    <col customWidth="1" min="21" max="21" width="26.14"/>
  </cols>
  <sheetData>
    <row r="1">
      <c r="A1" s="593" t="s">
        <v>97</v>
      </c>
      <c r="B1" s="594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>
      <c r="A2" s="595" t="s">
        <v>905</v>
      </c>
      <c r="B2" s="594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>
      <c r="A3" s="596" t="s">
        <v>906</v>
      </c>
      <c r="B3" s="596" t="s">
        <v>64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4">
      <c r="A4" s="596" t="s">
        <v>907</v>
      </c>
      <c r="B4" s="597">
        <v>208740.0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>
      <c r="A5" s="596" t="s">
        <v>908</v>
      </c>
      <c r="B5" s="597">
        <v>23361.0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</row>
    <row r="6">
      <c r="A6" s="596" t="s">
        <v>42</v>
      </c>
      <c r="B6" s="597">
        <v>27308.0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</row>
    <row r="7">
      <c r="A7" s="596" t="s">
        <v>74</v>
      </c>
      <c r="B7" s="597">
        <v>69669.0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>
      <c r="A8" s="596" t="s">
        <v>253</v>
      </c>
      <c r="B8" s="597">
        <v>23276.0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>
      <c r="A9" s="596" t="s">
        <v>67</v>
      </c>
      <c r="B9" s="597">
        <v>352354.0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>
      <c r="A10" s="598"/>
      <c r="B10" s="598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>
      <c r="A11" s="599" t="s">
        <v>909</v>
      </c>
      <c r="B11" s="598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>
      <c r="A12" s="596" t="s">
        <v>906</v>
      </c>
      <c r="B12" s="596" t="s">
        <v>64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</row>
    <row r="13">
      <c r="A13" s="596" t="s">
        <v>907</v>
      </c>
      <c r="B13" s="597">
        <v>606129.0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>
      <c r="A14" s="596" t="s">
        <v>908</v>
      </c>
      <c r="B14" s="597">
        <v>46402.0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>
      <c r="A15" s="596" t="s">
        <v>42</v>
      </c>
      <c r="B15" s="597">
        <v>45992.0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>
      <c r="A16" s="596" t="s">
        <v>74</v>
      </c>
      <c r="B16" s="597">
        <v>241251.0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>
      <c r="A17" s="596" t="s">
        <v>253</v>
      </c>
      <c r="B17" s="597">
        <v>64510.0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>
      <c r="A18" s="596" t="s">
        <v>67</v>
      </c>
      <c r="B18" s="597">
        <v>1004284.0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</row>
    <row r="26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</row>
    <row r="28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</row>
    <row r="30">
      <c r="A30" s="152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</row>
    <row r="31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</row>
    <row r="32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</row>
    <row r="33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</row>
    <row r="34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</row>
    <row r="3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</row>
    <row r="36">
      <c r="A36" s="152"/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</row>
    <row r="37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</row>
    <row r="38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</row>
    <row r="39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</row>
    <row r="40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</row>
    <row r="41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600" t="s">
        <v>90</v>
      </c>
      <c r="B1" s="601"/>
      <c r="C1" s="601"/>
      <c r="D1" s="601"/>
    </row>
    <row r="2">
      <c r="A2" s="585" t="s">
        <v>904</v>
      </c>
      <c r="B2" s="602" t="s">
        <v>67</v>
      </c>
      <c r="C2" s="603"/>
      <c r="D2" s="604"/>
    </row>
    <row r="3">
      <c r="A3" s="605"/>
      <c r="B3" s="606" t="s">
        <v>68</v>
      </c>
      <c r="C3" s="606" t="s">
        <v>69</v>
      </c>
      <c r="D3" s="606" t="s">
        <v>67</v>
      </c>
    </row>
    <row r="4">
      <c r="A4" s="607" t="s">
        <v>910</v>
      </c>
      <c r="B4" s="78">
        <v>3828064.0</v>
      </c>
      <c r="C4" s="78">
        <v>1007177.0</v>
      </c>
      <c r="D4" s="36">
        <f t="shared" ref="D4:D7" si="1">SUM(B4:C4)</f>
        <v>4835241</v>
      </c>
    </row>
    <row r="5">
      <c r="A5" s="607" t="s">
        <v>911</v>
      </c>
      <c r="B5" s="78">
        <v>1315101.0</v>
      </c>
      <c r="C5" s="78">
        <v>1240178.0</v>
      </c>
      <c r="D5" s="36">
        <f t="shared" si="1"/>
        <v>2555279</v>
      </c>
    </row>
    <row r="6">
      <c r="A6" s="607" t="s">
        <v>912</v>
      </c>
      <c r="B6" s="78">
        <v>1520671.0</v>
      </c>
      <c r="C6" s="78">
        <v>595932.0</v>
      </c>
      <c r="D6" s="36">
        <f t="shared" si="1"/>
        <v>2116603</v>
      </c>
    </row>
    <row r="7">
      <c r="A7" s="226" t="s">
        <v>67</v>
      </c>
      <c r="B7" s="85">
        <f t="shared" ref="B7:C7" si="2">SUM(B4:B6)</f>
        <v>6663836</v>
      </c>
      <c r="C7" s="85">
        <f t="shared" si="2"/>
        <v>2843287</v>
      </c>
      <c r="D7" s="36">
        <f t="shared" si="1"/>
        <v>9507123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12.14"/>
    <col customWidth="1" min="3" max="3" width="10.71"/>
    <col customWidth="1" min="4" max="4" width="14.0"/>
    <col customWidth="1" min="5" max="5" width="9.57"/>
    <col customWidth="1" min="6" max="6" width="12.86"/>
    <col customWidth="1" min="7" max="7" width="16.0"/>
    <col customWidth="1" min="8" max="8" width="17.57"/>
    <col customWidth="1" min="9" max="9" width="13.71"/>
    <col customWidth="1" min="10" max="10" width="11.86"/>
    <col customWidth="1" min="11" max="11" width="12.0"/>
    <col customWidth="1" min="12" max="12" width="11.29"/>
    <col customWidth="1" min="13" max="13" width="10.29"/>
    <col customWidth="1" min="14" max="14" width="12.43"/>
    <col customWidth="1" min="15" max="15" width="11.29"/>
    <col customWidth="1" min="16" max="16" width="11.43"/>
    <col customWidth="1" min="17" max="17" width="12.71"/>
    <col customWidth="1" min="18" max="18" width="14.86"/>
    <col customWidth="1" min="19" max="19" width="14.0"/>
    <col customWidth="1" min="20" max="20" width="13.57"/>
    <col customWidth="1" min="21" max="21" width="14.43"/>
    <col customWidth="1" min="22" max="22" width="12.14"/>
    <col customWidth="1" min="23" max="26" width="26.57"/>
  </cols>
  <sheetData>
    <row r="1" ht="14.25" customHeight="1">
      <c r="A1" s="2" t="s">
        <v>61</v>
      </c>
      <c r="B1" s="16" t="s">
        <v>62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18" t="s">
        <v>63</v>
      </c>
      <c r="B3" s="19" t="s">
        <v>64</v>
      </c>
      <c r="C3" s="20"/>
      <c r="D3" s="21"/>
      <c r="E3" s="19" t="s">
        <v>64</v>
      </c>
      <c r="F3" s="20"/>
      <c r="G3" s="20"/>
      <c r="H3" s="21"/>
      <c r="I3" s="19" t="s">
        <v>65</v>
      </c>
      <c r="J3" s="20"/>
      <c r="K3" s="21"/>
      <c r="L3" s="22" t="s">
        <v>65</v>
      </c>
      <c r="M3" s="20"/>
      <c r="N3" s="20"/>
      <c r="O3" s="21"/>
      <c r="P3" s="19" t="s">
        <v>66</v>
      </c>
      <c r="Q3" s="20"/>
      <c r="R3" s="21"/>
      <c r="S3" s="22" t="s">
        <v>66</v>
      </c>
      <c r="T3" s="20"/>
      <c r="U3" s="20"/>
      <c r="V3" s="21"/>
      <c r="W3" s="7"/>
      <c r="X3" s="7"/>
      <c r="Y3" s="7"/>
      <c r="Z3" s="7"/>
    </row>
    <row r="4" ht="70.5" customHeight="1">
      <c r="A4" s="23"/>
      <c r="B4" s="24" t="s">
        <v>67</v>
      </c>
      <c r="C4" s="25" t="s">
        <v>68</v>
      </c>
      <c r="D4" s="25" t="s">
        <v>69</v>
      </c>
      <c r="E4" s="25" t="s">
        <v>67</v>
      </c>
      <c r="F4" s="25" t="s">
        <v>70</v>
      </c>
      <c r="G4" s="25" t="s">
        <v>71</v>
      </c>
      <c r="H4" s="25" t="s">
        <v>72</v>
      </c>
      <c r="I4" s="25" t="s">
        <v>67</v>
      </c>
      <c r="J4" s="25" t="s">
        <v>68</v>
      </c>
      <c r="K4" s="25" t="s">
        <v>69</v>
      </c>
      <c r="L4" s="26" t="s">
        <v>67</v>
      </c>
      <c r="M4" s="25" t="s">
        <v>70</v>
      </c>
      <c r="N4" s="25" t="s">
        <v>71</v>
      </c>
      <c r="O4" s="25" t="s">
        <v>72</v>
      </c>
      <c r="P4" s="25" t="s">
        <v>67</v>
      </c>
      <c r="Q4" s="25" t="s">
        <v>68</v>
      </c>
      <c r="R4" s="25" t="s">
        <v>69</v>
      </c>
      <c r="S4" s="26" t="s">
        <v>67</v>
      </c>
      <c r="T4" s="25" t="s">
        <v>70</v>
      </c>
      <c r="U4" s="25" t="s">
        <v>71</v>
      </c>
      <c r="V4" s="27" t="s">
        <v>72</v>
      </c>
      <c r="W4" s="28"/>
      <c r="X4" s="28"/>
      <c r="Y4" s="28"/>
      <c r="Z4" s="28"/>
    </row>
    <row r="5" ht="14.25" customHeight="1">
      <c r="A5" s="29" t="s">
        <v>38</v>
      </c>
      <c r="B5" s="30">
        <v>978290.0</v>
      </c>
      <c r="C5" s="31">
        <v>899748.0</v>
      </c>
      <c r="D5" s="32">
        <v>78542.0</v>
      </c>
      <c r="E5" s="30">
        <v>978290.0</v>
      </c>
      <c r="F5" s="30">
        <v>804816.0</v>
      </c>
      <c r="G5" s="30">
        <v>35089.0</v>
      </c>
      <c r="H5" s="30">
        <v>138385.0</v>
      </c>
      <c r="I5" s="33">
        <v>1.37072786E8</v>
      </c>
      <c r="J5" s="33">
        <v>1.15866896E8</v>
      </c>
      <c r="K5" s="33">
        <v>2.120589E7</v>
      </c>
      <c r="L5" s="34">
        <f t="shared" ref="L5:L10" si="1">M5+N5+O5</f>
        <v>137072786</v>
      </c>
      <c r="M5" s="35">
        <v>8.4236267E7</v>
      </c>
      <c r="N5" s="35">
        <v>1.6134184E7</v>
      </c>
      <c r="O5" s="36">
        <v>3.6702335E7</v>
      </c>
      <c r="P5" s="37">
        <v>4681968.0</v>
      </c>
      <c r="Q5" s="38">
        <v>4000478.0</v>
      </c>
      <c r="R5" s="39">
        <v>681490.0</v>
      </c>
      <c r="S5" s="30">
        <v>4681968.0</v>
      </c>
      <c r="T5" s="30">
        <v>2975247.0</v>
      </c>
      <c r="U5" s="30">
        <v>500296.0</v>
      </c>
      <c r="V5" s="33">
        <v>1206425.0</v>
      </c>
      <c r="W5" s="7"/>
      <c r="X5" s="7"/>
      <c r="Y5" s="7"/>
      <c r="Z5" s="7"/>
    </row>
    <row r="6" ht="14.25" customHeight="1">
      <c r="A6" s="29" t="s">
        <v>73</v>
      </c>
      <c r="B6" s="30">
        <v>44096.0</v>
      </c>
      <c r="C6" s="31">
        <v>40822.0</v>
      </c>
      <c r="D6" s="32">
        <v>3274.0</v>
      </c>
      <c r="E6" s="30">
        <v>44096.0</v>
      </c>
      <c r="F6" s="30">
        <v>33475.0</v>
      </c>
      <c r="G6" s="30">
        <v>4285.0</v>
      </c>
      <c r="H6" s="30">
        <v>6336.0</v>
      </c>
      <c r="I6" s="30">
        <v>6167694.0</v>
      </c>
      <c r="J6" s="30">
        <v>4582497.0</v>
      </c>
      <c r="K6" s="33">
        <v>1585197.0</v>
      </c>
      <c r="L6" s="34">
        <f t="shared" si="1"/>
        <v>6167694</v>
      </c>
      <c r="M6" s="35">
        <v>2078213.0</v>
      </c>
      <c r="N6" s="35">
        <v>2621589.0</v>
      </c>
      <c r="O6" s="36">
        <v>1467892.0</v>
      </c>
      <c r="P6" s="37">
        <v>200478.0</v>
      </c>
      <c r="Q6" s="31">
        <v>151807.0</v>
      </c>
      <c r="R6" s="39">
        <v>48671.0</v>
      </c>
      <c r="S6" s="30">
        <v>200478.0</v>
      </c>
      <c r="T6" s="30">
        <v>75014.0</v>
      </c>
      <c r="U6" s="30">
        <v>78307.0</v>
      </c>
      <c r="V6" s="33">
        <v>47157.0</v>
      </c>
      <c r="W6" s="7"/>
      <c r="X6" s="7"/>
      <c r="Y6" s="7"/>
      <c r="Z6" s="7"/>
    </row>
    <row r="7" ht="14.25" customHeight="1">
      <c r="A7" s="29" t="s">
        <v>42</v>
      </c>
      <c r="B7" s="31">
        <v>82480.0</v>
      </c>
      <c r="C7" s="31">
        <v>55411.0</v>
      </c>
      <c r="D7" s="31">
        <v>27069.0</v>
      </c>
      <c r="E7" s="31">
        <v>82480.0</v>
      </c>
      <c r="F7" s="31">
        <v>29702.0</v>
      </c>
      <c r="G7" s="31">
        <v>13195.0</v>
      </c>
      <c r="H7" s="31">
        <v>39583.0</v>
      </c>
      <c r="I7" s="31">
        <v>2.7039457E7</v>
      </c>
      <c r="J7" s="31">
        <v>1.466879E7</v>
      </c>
      <c r="K7" s="31">
        <v>1.2370667E7</v>
      </c>
      <c r="L7" s="34">
        <f t="shared" si="1"/>
        <v>27039457</v>
      </c>
      <c r="M7" s="36">
        <v>5602708.0</v>
      </c>
      <c r="N7" s="36">
        <v>8251306.0</v>
      </c>
      <c r="O7" s="36">
        <v>1.3185443E7</v>
      </c>
      <c r="P7" s="37">
        <v>796631.0</v>
      </c>
      <c r="Q7" s="31">
        <v>459565.0</v>
      </c>
      <c r="R7" s="31">
        <v>337066.0</v>
      </c>
      <c r="S7" s="34">
        <v>796631.0</v>
      </c>
      <c r="T7" s="40">
        <v>185551.0</v>
      </c>
      <c r="U7" s="31">
        <v>229171.0</v>
      </c>
      <c r="V7" s="41">
        <v>381909.0</v>
      </c>
      <c r="W7" s="7"/>
      <c r="X7" s="7"/>
      <c r="Y7" s="7"/>
      <c r="Z7" s="7"/>
    </row>
    <row r="8" ht="14.25" customHeight="1">
      <c r="A8" s="29" t="s">
        <v>74</v>
      </c>
      <c r="B8" s="31">
        <v>335844.0</v>
      </c>
      <c r="C8" s="31">
        <v>203852.0</v>
      </c>
      <c r="D8" s="31">
        <v>131992.0</v>
      </c>
      <c r="E8" s="31">
        <v>335844.0</v>
      </c>
      <c r="F8" s="31">
        <v>192237.0</v>
      </c>
      <c r="G8" s="31">
        <v>82077.0</v>
      </c>
      <c r="H8" s="31">
        <v>61530.0</v>
      </c>
      <c r="I8" s="31">
        <v>8.8271316E7</v>
      </c>
      <c r="J8" s="31">
        <v>4.4951712E7</v>
      </c>
      <c r="K8" s="31">
        <v>4.3319604E7</v>
      </c>
      <c r="L8" s="34">
        <f t="shared" si="1"/>
        <v>88271316</v>
      </c>
      <c r="M8" s="36">
        <v>2.9981057E7</v>
      </c>
      <c r="N8" s="36">
        <v>4.3501041E7</v>
      </c>
      <c r="O8" s="36">
        <v>1.4789218E7</v>
      </c>
      <c r="P8" s="37">
        <v>3540647.0</v>
      </c>
      <c r="Q8" s="31">
        <v>1848924.0</v>
      </c>
      <c r="R8" s="31">
        <v>1691723.0</v>
      </c>
      <c r="S8" s="34">
        <v>3540647.0</v>
      </c>
      <c r="T8" s="40">
        <v>1360676.0</v>
      </c>
      <c r="U8" s="31">
        <v>1713447.0</v>
      </c>
      <c r="V8" s="41">
        <v>466524.0</v>
      </c>
      <c r="W8" s="7"/>
      <c r="X8" s="7"/>
      <c r="Y8" s="7"/>
      <c r="Z8" s="7"/>
    </row>
    <row r="9" ht="14.25" customHeight="1">
      <c r="A9" s="29" t="s">
        <v>75</v>
      </c>
      <c r="B9" s="31">
        <v>19965.0</v>
      </c>
      <c r="C9" s="31">
        <v>13391.0</v>
      </c>
      <c r="D9" s="31">
        <v>6574.0</v>
      </c>
      <c r="E9" s="31">
        <v>19965.0</v>
      </c>
      <c r="F9" s="31">
        <v>17059.0</v>
      </c>
      <c r="G9" s="31">
        <v>2251.0</v>
      </c>
      <c r="H9" s="31">
        <v>655.0</v>
      </c>
      <c r="I9" s="31">
        <v>2674984.0</v>
      </c>
      <c r="J9" s="31">
        <v>1924968.0</v>
      </c>
      <c r="K9" s="31">
        <v>750016.0</v>
      </c>
      <c r="L9" s="34">
        <f t="shared" si="1"/>
        <v>2674984</v>
      </c>
      <c r="M9" s="36">
        <v>1928628.0</v>
      </c>
      <c r="N9" s="36">
        <v>675743.0</v>
      </c>
      <c r="O9" s="36">
        <v>70613.0</v>
      </c>
      <c r="P9" s="37">
        <v>94277.0</v>
      </c>
      <c r="Q9" s="31">
        <v>63528.0</v>
      </c>
      <c r="R9" s="31">
        <v>30749.0</v>
      </c>
      <c r="S9" s="34">
        <v>94277.0</v>
      </c>
      <c r="T9" s="40">
        <v>72409.0</v>
      </c>
      <c r="U9" s="31">
        <v>19162.0</v>
      </c>
      <c r="V9" s="41">
        <v>2706.0</v>
      </c>
      <c r="W9" s="7"/>
      <c r="X9" s="7"/>
      <c r="Y9" s="7"/>
      <c r="Z9" s="7"/>
    </row>
    <row r="10" ht="14.25" customHeight="1">
      <c r="A10" s="29" t="s">
        <v>48</v>
      </c>
      <c r="B10" s="31">
        <v>28440.0</v>
      </c>
      <c r="C10" s="31">
        <v>21564.0</v>
      </c>
      <c r="D10" s="31">
        <v>6876.0</v>
      </c>
      <c r="E10" s="31">
        <v>28440.0</v>
      </c>
      <c r="F10" s="31">
        <v>25263.0</v>
      </c>
      <c r="G10" s="31">
        <v>1405.0</v>
      </c>
      <c r="H10" s="31">
        <v>1772.0</v>
      </c>
      <c r="I10" s="31">
        <v>4009593.0</v>
      </c>
      <c r="J10" s="31">
        <v>2892089.0</v>
      </c>
      <c r="K10" s="31">
        <v>1117504.0</v>
      </c>
      <c r="L10" s="36">
        <f t="shared" si="1"/>
        <v>4009593</v>
      </c>
      <c r="M10" s="36">
        <v>3450712.0</v>
      </c>
      <c r="N10" s="36">
        <v>392522.0</v>
      </c>
      <c r="O10" s="36">
        <v>166359.0</v>
      </c>
      <c r="P10" s="37">
        <v>193122.0</v>
      </c>
      <c r="Q10" s="31">
        <v>139534.0</v>
      </c>
      <c r="R10" s="31">
        <v>53588.0</v>
      </c>
      <c r="S10" s="34">
        <v>193122.0</v>
      </c>
      <c r="T10" s="40">
        <v>166344.0</v>
      </c>
      <c r="U10" s="31">
        <v>14896.0</v>
      </c>
      <c r="V10" s="41">
        <v>11882.0</v>
      </c>
      <c r="W10" s="7"/>
      <c r="X10" s="7"/>
      <c r="Y10" s="7"/>
      <c r="Z10" s="7"/>
    </row>
    <row r="11" ht="14.25" customHeight="1">
      <c r="A11" s="42" t="s">
        <v>67</v>
      </c>
      <c r="B11" s="43">
        <v>1489115.0</v>
      </c>
      <c r="C11" s="43">
        <v>1234788.0</v>
      </c>
      <c r="D11" s="43">
        <v>254327.0</v>
      </c>
      <c r="E11" s="43">
        <v>1489115.0</v>
      </c>
      <c r="F11" s="43">
        <v>1102552.0</v>
      </c>
      <c r="G11" s="43">
        <v>138302.0</v>
      </c>
      <c r="H11" s="43">
        <v>248261.0</v>
      </c>
      <c r="I11" s="43">
        <f t="shared" ref="I11:O11" si="2">SUM(I5:I10)</f>
        <v>265235830</v>
      </c>
      <c r="J11" s="43">
        <f t="shared" si="2"/>
        <v>184886952</v>
      </c>
      <c r="K11" s="43">
        <f t="shared" si="2"/>
        <v>80348878</v>
      </c>
      <c r="L11" s="44">
        <f t="shared" si="2"/>
        <v>265235830</v>
      </c>
      <c r="M11" s="44">
        <f t="shared" si="2"/>
        <v>127277585</v>
      </c>
      <c r="N11" s="44">
        <f t="shared" si="2"/>
        <v>71576385</v>
      </c>
      <c r="O11" s="44">
        <f t="shared" si="2"/>
        <v>66381860</v>
      </c>
      <c r="P11" s="45">
        <v>9507123.0</v>
      </c>
      <c r="Q11" s="43">
        <v>6663836.0</v>
      </c>
      <c r="R11" s="43">
        <v>2843287.0</v>
      </c>
      <c r="S11" s="44">
        <v>9507123.0</v>
      </c>
      <c r="T11" s="43">
        <v>4835241.0</v>
      </c>
      <c r="U11" s="43">
        <v>2555279.0</v>
      </c>
      <c r="V11" s="46">
        <v>2116603.0</v>
      </c>
      <c r="W11" s="7"/>
      <c r="X11" s="7"/>
      <c r="Y11" s="7"/>
      <c r="Z11" s="7"/>
    </row>
    <row r="12" ht="14.25" customHeight="1">
      <c r="A12" s="17"/>
      <c r="B12" s="47"/>
      <c r="C12" s="48"/>
      <c r="D12" s="48"/>
      <c r="E12" s="10">
        <v>967454.0</v>
      </c>
      <c r="F12" s="48"/>
      <c r="G12" s="48"/>
      <c r="H12" s="48"/>
      <c r="I12" s="17"/>
      <c r="J12" s="17"/>
      <c r="K12" s="17"/>
      <c r="L12" s="17"/>
      <c r="M12" s="17"/>
      <c r="N12" s="47">
        <f>N5/L5</f>
        <v>0.1177052314</v>
      </c>
      <c r="O12" s="7"/>
      <c r="P12" s="7"/>
      <c r="Q12" s="49"/>
      <c r="R12" s="49"/>
      <c r="S12" s="7"/>
      <c r="T12" s="50"/>
      <c r="U12" s="49"/>
      <c r="V12" s="49"/>
      <c r="W12" s="7"/>
      <c r="X12" s="7"/>
      <c r="Y12" s="7"/>
      <c r="Z12" s="7"/>
    </row>
    <row r="13" ht="18.0" customHeight="1">
      <c r="A13" s="51"/>
      <c r="C13" s="47">
        <f>C11/B11</f>
        <v>0.8292092955</v>
      </c>
      <c r="D13" s="17"/>
      <c r="E13" s="52" t="s">
        <v>76</v>
      </c>
      <c r="F13" s="47">
        <f>F11/B11</f>
        <v>0.7404075575</v>
      </c>
      <c r="G13" s="47">
        <f>G11/B11</f>
        <v>0.09287529842</v>
      </c>
      <c r="H13" s="47">
        <f>H11/B11</f>
        <v>0.1667171441</v>
      </c>
      <c r="I13" s="17"/>
      <c r="J13" s="47">
        <f>J11/I11</f>
        <v>0.6970662749</v>
      </c>
      <c r="K13" s="17"/>
      <c r="N13" s="53">
        <f>N7/L7</f>
        <v>0.3051579771</v>
      </c>
      <c r="P13" s="7"/>
      <c r="Q13" s="47">
        <f>Q11/P11</f>
        <v>0.7009308705</v>
      </c>
      <c r="R13" s="7"/>
      <c r="S13" s="7"/>
      <c r="T13" s="54"/>
      <c r="U13" s="54"/>
      <c r="V13" s="54"/>
      <c r="W13" s="7"/>
      <c r="X13" s="7"/>
      <c r="Y13" s="7"/>
      <c r="Z13" s="7"/>
    </row>
    <row r="14" ht="18.0" customHeight="1">
      <c r="A14" s="29" t="s">
        <v>38</v>
      </c>
      <c r="B14" s="47">
        <f>B5/B11</f>
        <v>0.656960678</v>
      </c>
      <c r="C14" s="53">
        <f t="shared" ref="C14:C20" si="4">C5/B5</f>
        <v>0.9197150129</v>
      </c>
      <c r="D14" s="17"/>
      <c r="E14" s="52" t="s">
        <v>77</v>
      </c>
      <c r="F14" s="47">
        <f t="shared" ref="F14:I14" si="3">F5/F11</f>
        <v>0.7299574079</v>
      </c>
      <c r="G14" s="47">
        <f t="shared" si="3"/>
        <v>0.2537128892</v>
      </c>
      <c r="H14" s="47">
        <f t="shared" si="3"/>
        <v>0.5574173954</v>
      </c>
      <c r="I14" s="47">
        <f t="shared" si="3"/>
        <v>0.5167958869</v>
      </c>
      <c r="J14" s="53">
        <f t="shared" ref="J14:J20" si="6">J5/I5</f>
        <v>0.8452946743</v>
      </c>
      <c r="K14" s="51" t="s">
        <v>78</v>
      </c>
      <c r="P14" s="47">
        <f>P5/P11</f>
        <v>0.4924694884</v>
      </c>
      <c r="Q14" s="53">
        <f t="shared" ref="Q14:Q20" si="7">Q5/P5</f>
        <v>0.8544436869</v>
      </c>
      <c r="R14" s="7"/>
      <c r="S14" s="7"/>
      <c r="T14" s="54"/>
      <c r="U14" s="54"/>
      <c r="V14" s="54"/>
      <c r="W14" s="7"/>
      <c r="X14" s="7"/>
      <c r="Y14" s="7"/>
      <c r="Z14" s="7"/>
    </row>
    <row r="15" ht="18.0" customHeight="1">
      <c r="A15" s="29" t="s">
        <v>73</v>
      </c>
      <c r="B15" s="53">
        <f>C6/C11</f>
        <v>0.03305992608</v>
      </c>
      <c r="C15" s="53">
        <f t="shared" si="4"/>
        <v>0.9257529028</v>
      </c>
      <c r="D15" s="17"/>
      <c r="E15" s="2" t="s">
        <v>79</v>
      </c>
      <c r="F15" s="53">
        <f t="shared" ref="F15:I15" si="5">F6/F11</f>
        <v>0.03036137978</v>
      </c>
      <c r="G15" s="53">
        <f t="shared" si="5"/>
        <v>0.03098292143</v>
      </c>
      <c r="H15" s="53">
        <f t="shared" si="5"/>
        <v>0.02552152775</v>
      </c>
      <c r="I15" s="47">
        <f t="shared" si="5"/>
        <v>0.02325362301</v>
      </c>
      <c r="J15" s="53">
        <f t="shared" si="6"/>
        <v>0.7429838445</v>
      </c>
      <c r="K15" s="55"/>
      <c r="L15" s="56" t="s">
        <v>80</v>
      </c>
      <c r="M15" s="57" t="s">
        <v>81</v>
      </c>
      <c r="N15" s="58" t="s">
        <v>82</v>
      </c>
      <c r="P15" s="47">
        <f>P6/P11</f>
        <v>0.02108713646</v>
      </c>
      <c r="Q15" s="53">
        <f t="shared" si="7"/>
        <v>0.7572252317</v>
      </c>
      <c r="R15" s="7"/>
      <c r="S15" s="7"/>
      <c r="T15" s="54">
        <f>T11/P11</f>
        <v>0.5085914004</v>
      </c>
      <c r="U15" s="54">
        <f>U11/P11</f>
        <v>0.268775212</v>
      </c>
      <c r="V15" s="54">
        <f>V11/P11</f>
        <v>0.2226333876</v>
      </c>
      <c r="W15" s="7"/>
      <c r="X15" s="7"/>
      <c r="Y15" s="7"/>
      <c r="Z15" s="7"/>
    </row>
    <row r="16" ht="18.0" customHeight="1">
      <c r="A16" s="29" t="s">
        <v>42</v>
      </c>
      <c r="B16" s="53">
        <f>B7/B11</f>
        <v>0.0553886033</v>
      </c>
      <c r="C16" s="53">
        <f t="shared" si="4"/>
        <v>0.6718113482</v>
      </c>
      <c r="D16" s="17"/>
      <c r="E16" s="52" t="s">
        <v>83</v>
      </c>
      <c r="F16" s="53">
        <f t="shared" ref="F16:I16" si="8">F7/F11</f>
        <v>0.02693931896</v>
      </c>
      <c r="G16" s="53">
        <f t="shared" si="8"/>
        <v>0.09540715246</v>
      </c>
      <c r="H16" s="53">
        <f t="shared" si="8"/>
        <v>0.1594410721</v>
      </c>
      <c r="I16" s="47">
        <f t="shared" si="8"/>
        <v>0.1019449635</v>
      </c>
      <c r="J16" s="53">
        <f t="shared" si="6"/>
        <v>0.5424957313</v>
      </c>
      <c r="K16" s="59" t="s">
        <v>67</v>
      </c>
      <c r="L16" s="60">
        <v>1489115.0</v>
      </c>
      <c r="M16" s="61">
        <v>9507123.0</v>
      </c>
      <c r="N16" s="60">
        <v>2.6523583E8</v>
      </c>
      <c r="P16" s="47">
        <f>P7/P11</f>
        <v>0.08379306758</v>
      </c>
      <c r="Q16" s="53">
        <f t="shared" si="7"/>
        <v>0.5768856597</v>
      </c>
      <c r="R16" s="7"/>
      <c r="S16" s="7"/>
      <c r="T16" s="7"/>
      <c r="U16" s="7"/>
      <c r="V16" s="7"/>
      <c r="W16" s="7"/>
      <c r="X16" s="7"/>
      <c r="Y16" s="7"/>
      <c r="Z16" s="7"/>
    </row>
    <row r="17" ht="18.0" customHeight="1">
      <c r="A17" s="29" t="s">
        <v>74</v>
      </c>
      <c r="B17" s="47">
        <f>B8/B11</f>
        <v>0.225532615</v>
      </c>
      <c r="C17" s="53">
        <f t="shared" si="4"/>
        <v>0.606984195</v>
      </c>
      <c r="D17" s="17"/>
      <c r="E17" s="52" t="s">
        <v>84</v>
      </c>
      <c r="F17" s="47">
        <f t="shared" ref="F17:I17" si="9">F8/F11</f>
        <v>0.1743564022</v>
      </c>
      <c r="G17" s="47">
        <f t="shared" si="9"/>
        <v>0.5934621336</v>
      </c>
      <c r="H17" s="47">
        <f t="shared" si="9"/>
        <v>0.2478440029</v>
      </c>
      <c r="I17" s="47">
        <f t="shared" si="9"/>
        <v>0.332803136</v>
      </c>
      <c r="J17" s="53">
        <f t="shared" si="6"/>
        <v>0.5092448378</v>
      </c>
      <c r="K17" s="62" t="s">
        <v>85</v>
      </c>
      <c r="L17" s="63">
        <v>0.8292092954540112</v>
      </c>
      <c r="M17" s="64">
        <v>0.7009308704641772</v>
      </c>
      <c r="N17" s="64">
        <v>0.6970662749448293</v>
      </c>
      <c r="P17" s="47">
        <f>P8/P11</f>
        <v>0.3724204473</v>
      </c>
      <c r="Q17" s="53">
        <f t="shared" si="7"/>
        <v>0.5221994737</v>
      </c>
      <c r="R17" s="7"/>
      <c r="S17" s="7"/>
      <c r="T17" s="7"/>
      <c r="U17" s="7"/>
      <c r="V17" s="7"/>
      <c r="W17" s="7"/>
      <c r="X17" s="7"/>
      <c r="Y17" s="7"/>
      <c r="Z17" s="7"/>
    </row>
    <row r="18" ht="18.0" customHeight="1">
      <c r="A18" s="29" t="s">
        <v>75</v>
      </c>
      <c r="B18" s="47">
        <f>B9/B11</f>
        <v>0.01340729225</v>
      </c>
      <c r="C18" s="53">
        <f t="shared" si="4"/>
        <v>0.6707237666</v>
      </c>
      <c r="D18" s="17"/>
      <c r="E18" s="52"/>
      <c r="F18" s="47"/>
      <c r="G18" s="47"/>
      <c r="H18" s="47"/>
      <c r="I18" s="47">
        <f>(I9)/I11</f>
        <v>0.01008530409</v>
      </c>
      <c r="J18" s="53">
        <f t="shared" si="6"/>
        <v>0.7196185099</v>
      </c>
      <c r="K18" s="65" t="s">
        <v>38</v>
      </c>
      <c r="L18" s="66">
        <v>0.6569606779865893</v>
      </c>
      <c r="M18" s="66">
        <v>0.4924694884035896</v>
      </c>
      <c r="N18" s="67">
        <v>0.5167958868905457</v>
      </c>
      <c r="P18" s="47">
        <f>(P9)/P11</f>
        <v>0.00991645948</v>
      </c>
      <c r="Q18" s="53">
        <f t="shared" si="7"/>
        <v>0.6738440977</v>
      </c>
      <c r="R18" s="7"/>
      <c r="S18" s="7"/>
      <c r="T18" s="7"/>
      <c r="U18" s="7"/>
      <c r="V18" s="7"/>
      <c r="W18" s="7"/>
      <c r="X18" s="7"/>
      <c r="Y18" s="7"/>
      <c r="Z18" s="7"/>
    </row>
    <row r="19" ht="14.25" customHeight="1">
      <c r="A19" s="29" t="s">
        <v>48</v>
      </c>
      <c r="B19" s="47">
        <f>B10/B11</f>
        <v>0.01909859212</v>
      </c>
      <c r="C19" s="53">
        <f t="shared" si="4"/>
        <v>0.7582278481</v>
      </c>
      <c r="D19" s="17"/>
      <c r="E19" s="17"/>
      <c r="F19" s="17"/>
      <c r="G19" s="17"/>
      <c r="H19" s="17"/>
      <c r="I19" s="47">
        <f>I10/I11</f>
        <v>0.01511708656</v>
      </c>
      <c r="J19" s="53">
        <f t="shared" si="6"/>
        <v>0.7212924105</v>
      </c>
      <c r="K19" s="62" t="s">
        <v>86</v>
      </c>
      <c r="L19" s="64">
        <v>0.9197150129307261</v>
      </c>
      <c r="M19" s="64">
        <v>0.8544436869282319</v>
      </c>
      <c r="N19" s="68">
        <v>0.8453</v>
      </c>
      <c r="P19" s="47">
        <f>P10/P11</f>
        <v>0.0203134008</v>
      </c>
      <c r="Q19" s="53">
        <f t="shared" si="7"/>
        <v>0.7225173724</v>
      </c>
      <c r="R19" s="7"/>
      <c r="S19" s="7"/>
      <c r="T19" s="7"/>
      <c r="U19" s="7"/>
      <c r="V19" s="7"/>
      <c r="W19" s="7"/>
      <c r="X19" s="7"/>
      <c r="Y19" s="7"/>
      <c r="Z19" s="7"/>
    </row>
    <row r="20" ht="14.25" customHeight="1">
      <c r="A20" s="51"/>
      <c r="B20" s="47"/>
      <c r="C20" s="53">
        <f t="shared" si="4"/>
        <v>0.8292092955</v>
      </c>
      <c r="D20" s="17"/>
      <c r="E20" s="17"/>
      <c r="F20" s="17"/>
      <c r="G20" s="17"/>
      <c r="H20" s="17"/>
      <c r="I20" s="17"/>
      <c r="J20" s="53">
        <f t="shared" si="6"/>
        <v>0.6970662749</v>
      </c>
      <c r="K20" s="65" t="s">
        <v>73</v>
      </c>
      <c r="L20" s="66">
        <v>0.0330599260763791</v>
      </c>
      <c r="M20" s="66">
        <v>0.021087136455476593</v>
      </c>
      <c r="N20" s="67">
        <v>0.02325362301164213</v>
      </c>
      <c r="P20" s="7"/>
      <c r="Q20" s="53">
        <f t="shared" si="7"/>
        <v>0.7009308705</v>
      </c>
      <c r="R20" s="7"/>
      <c r="S20" s="7"/>
      <c r="T20" s="7"/>
      <c r="U20" s="7"/>
      <c r="V20" s="7"/>
      <c r="W20" s="7"/>
      <c r="X20" s="7"/>
      <c r="Y20" s="7"/>
      <c r="Z20" s="7"/>
    </row>
    <row r="21" ht="14.25" customHeight="1">
      <c r="A21" s="51" t="s">
        <v>87</v>
      </c>
      <c r="B21" s="17"/>
      <c r="C21" s="69">
        <f>J5/C5</f>
        <v>128.7770531</v>
      </c>
      <c r="D21" s="17"/>
      <c r="E21" s="17"/>
      <c r="F21" s="17"/>
      <c r="G21" s="17"/>
      <c r="H21" s="17"/>
      <c r="I21" s="17"/>
      <c r="J21" s="17"/>
      <c r="K21" s="65" t="s">
        <v>42</v>
      </c>
      <c r="L21" s="70">
        <v>0.05538860329793199</v>
      </c>
      <c r="M21" s="66">
        <v>0.08379306757680531</v>
      </c>
      <c r="N21" s="67">
        <v>0.101944963468925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4.25" customHeight="1">
      <c r="A22" s="51" t="s">
        <v>88</v>
      </c>
      <c r="B22" s="17"/>
      <c r="C22" s="69">
        <f>K8/D8</f>
        <v>328.198709</v>
      </c>
      <c r="D22" s="17"/>
      <c r="E22" s="17"/>
      <c r="F22" s="17"/>
      <c r="G22" s="17"/>
      <c r="H22" s="17"/>
      <c r="I22" s="17"/>
      <c r="J22" s="17"/>
      <c r="K22" s="65" t="s">
        <v>74</v>
      </c>
      <c r="L22" s="70">
        <v>0.22553261500958624</v>
      </c>
      <c r="M22" s="66">
        <v>0.37242044727937146</v>
      </c>
      <c r="N22" s="67">
        <v>0.33280313598656713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4.25" customHeight="1">
      <c r="A23" s="51"/>
      <c r="B23" s="17"/>
      <c r="C23" s="17"/>
      <c r="D23" s="17"/>
      <c r="E23" s="17"/>
      <c r="F23" s="17"/>
      <c r="G23" s="17"/>
      <c r="H23" s="17"/>
      <c r="I23" s="17"/>
      <c r="J23" s="17"/>
      <c r="K23" s="62" t="s">
        <v>89</v>
      </c>
      <c r="L23" s="64">
        <v>0.6069841950429365</v>
      </c>
      <c r="M23" s="64">
        <v>0.522199473712008</v>
      </c>
      <c r="N23" s="64">
        <v>0.5092448378134523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4.25" customHeight="1">
      <c r="A24" s="51"/>
      <c r="B24" s="17"/>
      <c r="C24" s="17"/>
      <c r="D24" s="17"/>
      <c r="E24" s="17"/>
      <c r="F24" s="17"/>
      <c r="G24" s="17"/>
      <c r="H24" s="17"/>
      <c r="I24" s="17"/>
      <c r="J24" s="17"/>
      <c r="K24" s="65" t="s">
        <v>75</v>
      </c>
      <c r="L24" s="70">
        <v>0.013407292250766395</v>
      </c>
      <c r="M24" s="66">
        <v>0.009916459479907854</v>
      </c>
      <c r="N24" s="66">
        <v>0.010085304085801682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4.25" customHeight="1">
      <c r="A25" s="51"/>
      <c r="B25" s="17"/>
      <c r="C25" s="17"/>
      <c r="D25" s="17"/>
      <c r="E25" s="17"/>
      <c r="F25" s="17"/>
      <c r="G25" s="17"/>
      <c r="H25" s="17"/>
      <c r="I25" s="17"/>
      <c r="J25" s="17"/>
      <c r="K25" s="65" t="s">
        <v>48</v>
      </c>
      <c r="L25" s="70">
        <v>0.019098592116794204</v>
      </c>
      <c r="M25" s="66">
        <v>0.020313400804849165</v>
      </c>
      <c r="N25" s="66">
        <v>0.015117086556518401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4.25" customHeight="1">
      <c r="A26" s="51" t="s">
        <v>90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4.25" customHeight="1">
      <c r="A27" s="71"/>
      <c r="B27" s="19" t="s">
        <v>38</v>
      </c>
      <c r="C27" s="20"/>
      <c r="D27" s="21"/>
      <c r="E27" s="19" t="s">
        <v>73</v>
      </c>
      <c r="F27" s="20"/>
      <c r="G27" s="21"/>
      <c r="H27" s="72" t="s">
        <v>42</v>
      </c>
      <c r="I27" s="20"/>
      <c r="J27" s="21"/>
      <c r="K27" s="72" t="s">
        <v>74</v>
      </c>
      <c r="L27" s="20"/>
      <c r="M27" s="73"/>
      <c r="N27" s="19" t="s">
        <v>75</v>
      </c>
      <c r="O27" s="20"/>
      <c r="P27" s="21"/>
      <c r="Q27" s="19" t="s">
        <v>48</v>
      </c>
      <c r="R27" s="20"/>
      <c r="S27" s="21"/>
      <c r="T27" s="22" t="s">
        <v>67</v>
      </c>
      <c r="U27" s="20"/>
      <c r="V27" s="21"/>
      <c r="W27" s="7"/>
      <c r="X27" s="7"/>
      <c r="Y27" s="7"/>
      <c r="Z27" s="7"/>
    </row>
    <row r="28" ht="14.25" customHeight="1">
      <c r="A28" s="23"/>
      <c r="B28" s="74" t="s">
        <v>67</v>
      </c>
      <c r="C28" s="74" t="s">
        <v>68</v>
      </c>
      <c r="D28" s="74" t="s">
        <v>69</v>
      </c>
      <c r="E28" s="74" t="s">
        <v>67</v>
      </c>
      <c r="F28" s="74" t="s">
        <v>68</v>
      </c>
      <c r="G28" s="74" t="s">
        <v>69</v>
      </c>
      <c r="H28" s="74" t="s">
        <v>67</v>
      </c>
      <c r="I28" s="74" t="s">
        <v>68</v>
      </c>
      <c r="J28" s="74" t="s">
        <v>69</v>
      </c>
      <c r="K28" s="74" t="s">
        <v>67</v>
      </c>
      <c r="L28" s="74" t="s">
        <v>68</v>
      </c>
      <c r="M28" s="74" t="s">
        <v>69</v>
      </c>
      <c r="N28" s="74" t="s">
        <v>67</v>
      </c>
      <c r="O28" s="74" t="s">
        <v>68</v>
      </c>
      <c r="P28" s="74" t="s">
        <v>69</v>
      </c>
      <c r="Q28" s="74" t="s">
        <v>67</v>
      </c>
      <c r="R28" s="74" t="s">
        <v>68</v>
      </c>
      <c r="S28" s="74" t="s">
        <v>69</v>
      </c>
      <c r="T28" s="75" t="s">
        <v>67</v>
      </c>
      <c r="U28" s="75" t="s">
        <v>68</v>
      </c>
      <c r="V28" s="76" t="s">
        <v>69</v>
      </c>
      <c r="W28" s="7"/>
      <c r="X28" s="7"/>
      <c r="Y28" s="7"/>
      <c r="Z28" s="7"/>
    </row>
    <row r="29" ht="14.25" customHeight="1">
      <c r="A29" s="77" t="s">
        <v>91</v>
      </c>
      <c r="B29" s="30">
        <v>804816.0</v>
      </c>
      <c r="C29" s="32">
        <v>746624.0</v>
      </c>
      <c r="D29" s="32">
        <v>58192.0</v>
      </c>
      <c r="E29" s="30">
        <v>33475.0</v>
      </c>
      <c r="F29" s="32">
        <v>32282.0</v>
      </c>
      <c r="G29" s="32">
        <v>1193.0</v>
      </c>
      <c r="H29" s="33">
        <v>29702.0</v>
      </c>
      <c r="I29" s="32">
        <v>17705.0</v>
      </c>
      <c r="J29" s="32">
        <v>11997.0</v>
      </c>
      <c r="K29" s="33">
        <v>192237.0</v>
      </c>
      <c r="L29" s="32">
        <v>121993.0</v>
      </c>
      <c r="M29" s="32">
        <v>70244.0</v>
      </c>
      <c r="N29" s="33">
        <v>17059.0</v>
      </c>
      <c r="O29" s="31">
        <v>11418.0</v>
      </c>
      <c r="P29" s="31">
        <v>5641.0</v>
      </c>
      <c r="Q29" s="33">
        <v>25263.0</v>
      </c>
      <c r="R29" s="31">
        <v>19016.0</v>
      </c>
      <c r="S29" s="31">
        <v>6247.0</v>
      </c>
      <c r="T29" s="33">
        <v>1102552.0</v>
      </c>
      <c r="U29" s="78">
        <v>949038.0</v>
      </c>
      <c r="V29" s="79">
        <v>153514.0</v>
      </c>
      <c r="W29" s="54"/>
      <c r="X29" s="7"/>
      <c r="Y29" s="7"/>
      <c r="Z29" s="7"/>
    </row>
    <row r="30" ht="14.25" customHeight="1">
      <c r="A30" s="77" t="s">
        <v>92</v>
      </c>
      <c r="B30" s="30">
        <v>35089.0</v>
      </c>
      <c r="C30" s="32">
        <v>30779.0</v>
      </c>
      <c r="D30" s="32">
        <v>4310.0</v>
      </c>
      <c r="E30" s="30">
        <v>4285.0</v>
      </c>
      <c r="F30" s="32">
        <v>3078.0</v>
      </c>
      <c r="G30" s="32">
        <v>1207.0</v>
      </c>
      <c r="H30" s="33">
        <v>13195.0</v>
      </c>
      <c r="I30" s="32">
        <v>8298.0</v>
      </c>
      <c r="J30" s="32">
        <v>4897.0</v>
      </c>
      <c r="K30" s="33">
        <v>82077.0</v>
      </c>
      <c r="L30" s="32">
        <v>40518.0</v>
      </c>
      <c r="M30" s="32">
        <v>41559.0</v>
      </c>
      <c r="N30" s="33">
        <v>2251.0</v>
      </c>
      <c r="O30" s="31">
        <v>1569.0</v>
      </c>
      <c r="P30" s="31">
        <v>682.0</v>
      </c>
      <c r="Q30" s="33">
        <v>1405.0</v>
      </c>
      <c r="R30" s="31">
        <v>1005.0</v>
      </c>
      <c r="S30" s="31">
        <v>400.0</v>
      </c>
      <c r="T30" s="33">
        <v>138302.0</v>
      </c>
      <c r="U30" s="78">
        <v>85247.0</v>
      </c>
      <c r="V30" s="79">
        <v>53055.0</v>
      </c>
      <c r="W30" s="80">
        <f>T30/T32</f>
        <v>0.09287529842</v>
      </c>
      <c r="X30" s="7"/>
      <c r="Y30" s="7"/>
      <c r="Z30" s="7"/>
    </row>
    <row r="31" ht="14.25" customHeight="1">
      <c r="A31" s="77" t="s">
        <v>93</v>
      </c>
      <c r="B31" s="30">
        <v>138385.0</v>
      </c>
      <c r="C31" s="32">
        <v>122345.0</v>
      </c>
      <c r="D31" s="32">
        <v>16040.0</v>
      </c>
      <c r="E31" s="30">
        <v>6336.0</v>
      </c>
      <c r="F31" s="32">
        <v>5462.0</v>
      </c>
      <c r="G31" s="32">
        <v>874.0</v>
      </c>
      <c r="H31" s="33">
        <v>39583.0</v>
      </c>
      <c r="I31" s="32">
        <v>29408.0</v>
      </c>
      <c r="J31" s="32">
        <v>10175.0</v>
      </c>
      <c r="K31" s="33">
        <v>61530.0</v>
      </c>
      <c r="L31" s="31">
        <v>41341.0</v>
      </c>
      <c r="M31" s="31">
        <v>20189.0</v>
      </c>
      <c r="N31" s="33">
        <v>655.0</v>
      </c>
      <c r="O31" s="31">
        <v>404.0</v>
      </c>
      <c r="P31" s="31">
        <v>251.0</v>
      </c>
      <c r="Q31" s="33">
        <v>1772.0</v>
      </c>
      <c r="R31" s="31">
        <v>1543.0</v>
      </c>
      <c r="S31" s="31">
        <v>229.0</v>
      </c>
      <c r="T31" s="33">
        <v>248261.0</v>
      </c>
      <c r="U31" s="78">
        <v>200503.0</v>
      </c>
      <c r="V31" s="79">
        <v>47758.0</v>
      </c>
      <c r="W31" s="54"/>
      <c r="X31" s="7"/>
      <c r="Y31" s="7"/>
      <c r="Z31" s="7"/>
    </row>
    <row r="32" ht="14.25" customHeight="1">
      <c r="A32" s="81" t="s">
        <v>67</v>
      </c>
      <c r="B32" s="82">
        <v>978290.0</v>
      </c>
      <c r="C32" s="43">
        <v>899748.0</v>
      </c>
      <c r="D32" s="83">
        <v>78542.0</v>
      </c>
      <c r="E32" s="82">
        <v>44096.0</v>
      </c>
      <c r="F32" s="43">
        <v>40822.0</v>
      </c>
      <c r="G32" s="83">
        <v>3274.0</v>
      </c>
      <c r="H32" s="84">
        <v>82480.0</v>
      </c>
      <c r="I32" s="43">
        <v>55411.0</v>
      </c>
      <c r="J32" s="83">
        <v>27069.0</v>
      </c>
      <c r="K32" s="84">
        <v>335844.0</v>
      </c>
      <c r="L32" s="43">
        <v>203852.0</v>
      </c>
      <c r="M32" s="83">
        <v>131992.0</v>
      </c>
      <c r="N32" s="84">
        <v>19965.0</v>
      </c>
      <c r="O32" s="43">
        <v>13391.0</v>
      </c>
      <c r="P32" s="43">
        <v>6574.0</v>
      </c>
      <c r="Q32" s="84">
        <v>28440.0</v>
      </c>
      <c r="R32" s="43">
        <v>21564.0</v>
      </c>
      <c r="S32" s="43">
        <v>6876.0</v>
      </c>
      <c r="T32" s="84">
        <v>1489115.0</v>
      </c>
      <c r="U32" s="85">
        <v>1234788.0</v>
      </c>
      <c r="V32" s="86">
        <v>254327.0</v>
      </c>
      <c r="W32" s="50">
        <f>U32/T32*100</f>
        <v>82.92092955</v>
      </c>
      <c r="X32" s="7"/>
      <c r="Y32" s="7"/>
      <c r="Z32" s="7"/>
    </row>
    <row r="33" ht="14.25" customHeight="1">
      <c r="A33" s="17"/>
      <c r="B33" s="87">
        <f>B32/T32</f>
        <v>0.656960678</v>
      </c>
      <c r="C33" s="17"/>
      <c r="D33" s="17"/>
      <c r="E33" s="87">
        <f>E32/T32</f>
        <v>0.02961221934</v>
      </c>
      <c r="F33" s="17"/>
      <c r="G33" s="17"/>
      <c r="H33" s="87">
        <f>H32/T32</f>
        <v>0.0553886033</v>
      </c>
      <c r="I33" s="17"/>
      <c r="J33" s="17"/>
      <c r="K33" s="87">
        <f>K32/T32</f>
        <v>0.225532615</v>
      </c>
      <c r="L33" s="17"/>
      <c r="M33" s="17"/>
      <c r="N33" s="87">
        <f>N32/T32</f>
        <v>0.01340729225</v>
      </c>
      <c r="O33" s="7"/>
      <c r="P33" s="7"/>
      <c r="Q33" s="88">
        <f>Q32/T32</f>
        <v>0.01909859212</v>
      </c>
      <c r="R33" s="50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89" t="s">
        <v>94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7"/>
      <c r="P34" s="7"/>
      <c r="Q34" s="90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89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7"/>
      <c r="P35" s="7"/>
      <c r="Q35" s="90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1"/>
      <c r="B36" s="22" t="s">
        <v>38</v>
      </c>
      <c r="C36" s="20"/>
      <c r="D36" s="21"/>
      <c r="E36" s="22" t="s">
        <v>73</v>
      </c>
      <c r="F36" s="20"/>
      <c r="G36" s="21"/>
      <c r="H36" s="91" t="s">
        <v>42</v>
      </c>
      <c r="I36" s="20"/>
      <c r="J36" s="21"/>
      <c r="K36" s="91" t="s">
        <v>74</v>
      </c>
      <c r="L36" s="20"/>
      <c r="M36" s="21"/>
      <c r="N36" s="22" t="s">
        <v>75</v>
      </c>
      <c r="O36" s="20"/>
      <c r="P36" s="21"/>
      <c r="Q36" s="22" t="s">
        <v>48</v>
      </c>
      <c r="R36" s="20"/>
      <c r="S36" s="21"/>
      <c r="T36" s="22" t="s">
        <v>67</v>
      </c>
      <c r="U36" s="20"/>
      <c r="V36" s="21"/>
      <c r="W36" s="92"/>
      <c r="X36" s="7"/>
      <c r="Y36" s="7"/>
      <c r="Z36" s="7"/>
    </row>
    <row r="37" ht="14.25" customHeight="1">
      <c r="A37" s="23"/>
      <c r="B37" s="93" t="s">
        <v>67</v>
      </c>
      <c r="C37" s="94" t="s">
        <v>68</v>
      </c>
      <c r="D37" s="94" t="s">
        <v>69</v>
      </c>
      <c r="E37" s="93" t="s">
        <v>67</v>
      </c>
      <c r="F37" s="94" t="s">
        <v>68</v>
      </c>
      <c r="G37" s="94" t="s">
        <v>69</v>
      </c>
      <c r="H37" s="93" t="s">
        <v>67</v>
      </c>
      <c r="I37" s="94" t="s">
        <v>68</v>
      </c>
      <c r="J37" s="94" t="s">
        <v>69</v>
      </c>
      <c r="K37" s="93" t="s">
        <v>67</v>
      </c>
      <c r="L37" s="94" t="s">
        <v>68</v>
      </c>
      <c r="M37" s="94" t="s">
        <v>69</v>
      </c>
      <c r="N37" s="93" t="s">
        <v>67</v>
      </c>
      <c r="O37" s="94" t="s">
        <v>68</v>
      </c>
      <c r="P37" s="94" t="s">
        <v>69</v>
      </c>
      <c r="Q37" s="93" t="s">
        <v>67</v>
      </c>
      <c r="R37" s="94" t="s">
        <v>68</v>
      </c>
      <c r="S37" s="94" t="s">
        <v>69</v>
      </c>
      <c r="T37" s="93" t="s">
        <v>67</v>
      </c>
      <c r="U37" s="75" t="s">
        <v>68</v>
      </c>
      <c r="V37" s="93" t="s">
        <v>69</v>
      </c>
      <c r="W37" s="95"/>
      <c r="X37" s="7"/>
      <c r="Y37" s="7"/>
      <c r="Z37" s="7"/>
    </row>
    <row r="38" ht="14.25" customHeight="1">
      <c r="A38" s="96" t="s">
        <v>91</v>
      </c>
      <c r="B38" s="30">
        <v>2975247.0</v>
      </c>
      <c r="C38" s="30">
        <v>2678489.0</v>
      </c>
      <c r="D38" s="33">
        <v>296758.0</v>
      </c>
      <c r="E38" s="30">
        <v>75014.0</v>
      </c>
      <c r="F38" s="30">
        <v>70753.0</v>
      </c>
      <c r="G38" s="33">
        <v>4261.0</v>
      </c>
      <c r="H38" s="33">
        <v>185551.0</v>
      </c>
      <c r="I38" s="41">
        <v>96117.0</v>
      </c>
      <c r="J38" s="41">
        <v>89434.0</v>
      </c>
      <c r="K38" s="33">
        <v>1360676.0</v>
      </c>
      <c r="L38" s="41">
        <v>814808.0</v>
      </c>
      <c r="M38" s="41">
        <v>545868.0</v>
      </c>
      <c r="N38" s="33">
        <v>72409.0</v>
      </c>
      <c r="O38" s="41">
        <v>49243.0</v>
      </c>
      <c r="P38" s="41">
        <v>23166.0</v>
      </c>
      <c r="Q38" s="33">
        <v>166344.0</v>
      </c>
      <c r="R38" s="41">
        <v>118654.0</v>
      </c>
      <c r="S38" s="41">
        <v>47690.0</v>
      </c>
      <c r="T38" s="33">
        <v>4835241.0</v>
      </c>
      <c r="U38" s="78">
        <v>3828064.0</v>
      </c>
      <c r="V38" s="78">
        <v>1007177.0</v>
      </c>
      <c r="W38" s="54"/>
      <c r="X38" s="7"/>
      <c r="Y38" s="7"/>
      <c r="Z38" s="7"/>
    </row>
    <row r="39" ht="14.25" customHeight="1">
      <c r="A39" s="96" t="s">
        <v>92</v>
      </c>
      <c r="B39" s="30">
        <v>500296.0</v>
      </c>
      <c r="C39" s="30">
        <v>389133.0</v>
      </c>
      <c r="D39" s="33">
        <v>111163.0</v>
      </c>
      <c r="E39" s="30">
        <v>78307.0</v>
      </c>
      <c r="F39" s="30">
        <v>42525.0</v>
      </c>
      <c r="G39" s="33">
        <v>35782.0</v>
      </c>
      <c r="H39" s="33">
        <v>229171.0</v>
      </c>
      <c r="I39" s="41">
        <v>118680.0</v>
      </c>
      <c r="J39" s="41">
        <v>110491.0</v>
      </c>
      <c r="K39" s="33">
        <v>1713447.0</v>
      </c>
      <c r="L39" s="41">
        <v>741680.0</v>
      </c>
      <c r="M39" s="41">
        <v>971767.0</v>
      </c>
      <c r="N39" s="33">
        <v>19162.0</v>
      </c>
      <c r="O39" s="41">
        <v>12608.0</v>
      </c>
      <c r="P39" s="41">
        <v>6554.0</v>
      </c>
      <c r="Q39" s="33">
        <v>14896.0</v>
      </c>
      <c r="R39" s="41">
        <v>10475.0</v>
      </c>
      <c r="S39" s="41">
        <v>4421.0</v>
      </c>
      <c r="T39" s="33">
        <v>2555279.0</v>
      </c>
      <c r="U39" s="78">
        <v>1315101.0</v>
      </c>
      <c r="V39" s="78">
        <v>1240178.0</v>
      </c>
      <c r="W39" s="80">
        <f>B39/B41</f>
        <v>0.1068559204</v>
      </c>
      <c r="X39" s="7"/>
      <c r="Y39" s="7"/>
      <c r="Z39" s="7"/>
    </row>
    <row r="40" ht="14.25" customHeight="1">
      <c r="A40" s="96" t="s">
        <v>93</v>
      </c>
      <c r="B40" s="33">
        <v>1206425.0</v>
      </c>
      <c r="C40" s="33">
        <v>932856.0</v>
      </c>
      <c r="D40" s="33">
        <v>273569.0</v>
      </c>
      <c r="E40" s="33">
        <v>47157.0</v>
      </c>
      <c r="F40" s="33">
        <v>38529.0</v>
      </c>
      <c r="G40" s="33">
        <v>8628.0</v>
      </c>
      <c r="H40" s="33">
        <v>381909.0</v>
      </c>
      <c r="I40" s="30">
        <v>244768.0</v>
      </c>
      <c r="J40" s="41">
        <v>137141.0</v>
      </c>
      <c r="K40" s="33">
        <v>466524.0</v>
      </c>
      <c r="L40" s="30">
        <v>292436.0</v>
      </c>
      <c r="M40" s="41">
        <v>174088.0</v>
      </c>
      <c r="N40" s="33">
        <v>2706.0</v>
      </c>
      <c r="O40" s="30">
        <v>1677.0</v>
      </c>
      <c r="P40" s="41">
        <v>1029.0</v>
      </c>
      <c r="Q40" s="33">
        <v>11882.0</v>
      </c>
      <c r="R40" s="33">
        <v>10405.0</v>
      </c>
      <c r="S40" s="41">
        <v>1477.0</v>
      </c>
      <c r="T40" s="33">
        <v>2116603.0</v>
      </c>
      <c r="U40" s="78">
        <v>1520671.0</v>
      </c>
      <c r="V40" s="78">
        <v>595932.0</v>
      </c>
      <c r="W40" s="54"/>
      <c r="X40" s="7"/>
      <c r="Y40" s="7"/>
      <c r="Z40" s="7"/>
    </row>
    <row r="41" ht="14.25" customHeight="1">
      <c r="A41" s="97" t="s">
        <v>67</v>
      </c>
      <c r="B41" s="98">
        <v>4681968.0</v>
      </c>
      <c r="C41" s="98">
        <v>4000478.0</v>
      </c>
      <c r="D41" s="98">
        <v>681490.0</v>
      </c>
      <c r="E41" s="82">
        <v>200478.0</v>
      </c>
      <c r="F41" s="82">
        <v>151807.0</v>
      </c>
      <c r="G41" s="84">
        <v>48671.0</v>
      </c>
      <c r="H41" s="98">
        <v>796631.0</v>
      </c>
      <c r="I41" s="46">
        <v>459565.0</v>
      </c>
      <c r="J41" s="46">
        <v>337066.0</v>
      </c>
      <c r="K41" s="98">
        <v>3540647.0</v>
      </c>
      <c r="L41" s="46">
        <v>1848924.0</v>
      </c>
      <c r="M41" s="46">
        <v>1691723.0</v>
      </c>
      <c r="N41" s="98">
        <v>94277.0</v>
      </c>
      <c r="O41" s="46">
        <v>63528.0</v>
      </c>
      <c r="P41" s="46">
        <v>30749.0</v>
      </c>
      <c r="Q41" s="98">
        <v>193122.0</v>
      </c>
      <c r="R41" s="46">
        <v>139534.0</v>
      </c>
      <c r="S41" s="46">
        <v>53588.0</v>
      </c>
      <c r="T41" s="98">
        <v>9507123.0</v>
      </c>
      <c r="U41" s="85">
        <v>6663836.0</v>
      </c>
      <c r="V41" s="85">
        <v>2843287.0</v>
      </c>
      <c r="W41" s="7">
        <f>U41/T41*100</f>
        <v>70.09308705</v>
      </c>
      <c r="X41" s="7"/>
      <c r="Y41" s="7"/>
      <c r="Z41" s="7"/>
    </row>
    <row r="42" ht="14.25" customHeight="1">
      <c r="A42" s="89"/>
      <c r="B42" s="47">
        <f>B39/B41</f>
        <v>0.1068559204</v>
      </c>
      <c r="C42" s="17"/>
      <c r="D42" s="87">
        <f>D41/V41</f>
        <v>0.2396838589</v>
      </c>
      <c r="E42" s="47">
        <f>E41/T41</f>
        <v>0.02108713646</v>
      </c>
      <c r="F42" s="47"/>
      <c r="G42" s="47"/>
      <c r="H42" s="47">
        <f>H39/H41</f>
        <v>0.2876752223</v>
      </c>
      <c r="I42" s="47"/>
      <c r="J42" s="87"/>
      <c r="K42" s="47">
        <f>K39/K41</f>
        <v>0.4839361281</v>
      </c>
      <c r="L42" s="87"/>
      <c r="M42" s="87"/>
      <c r="N42" s="47"/>
      <c r="O42" s="7"/>
      <c r="P42" s="7"/>
      <c r="Q42" s="54">
        <f>Q41/T41</f>
        <v>0.0203134008</v>
      </c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89" t="s">
        <v>95</v>
      </c>
      <c r="B43" s="17"/>
      <c r="C43" s="17"/>
      <c r="D43" s="17"/>
      <c r="E43" s="17"/>
      <c r="F43" s="17"/>
      <c r="G43" s="17"/>
      <c r="H43" s="17"/>
      <c r="I43" s="17"/>
      <c r="J43" s="52" t="s">
        <v>96</v>
      </c>
      <c r="K43" s="17"/>
      <c r="L43" s="47"/>
      <c r="M43" s="17"/>
      <c r="N43" s="1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99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1"/>
      <c r="B45" s="22" t="s">
        <v>38</v>
      </c>
      <c r="C45" s="20"/>
      <c r="D45" s="21"/>
      <c r="E45" s="22" t="s">
        <v>73</v>
      </c>
      <c r="F45" s="20"/>
      <c r="G45" s="21"/>
      <c r="H45" s="91" t="s">
        <v>42</v>
      </c>
      <c r="I45" s="20"/>
      <c r="J45" s="21"/>
      <c r="K45" s="91" t="s">
        <v>74</v>
      </c>
      <c r="L45" s="20"/>
      <c r="M45" s="21"/>
      <c r="N45" s="22" t="s">
        <v>75</v>
      </c>
      <c r="O45" s="20"/>
      <c r="P45" s="21"/>
      <c r="Q45" s="22" t="s">
        <v>48</v>
      </c>
      <c r="R45" s="20"/>
      <c r="S45" s="21"/>
      <c r="T45" s="22" t="s">
        <v>67</v>
      </c>
      <c r="U45" s="20"/>
      <c r="V45" s="21"/>
      <c r="W45" s="7"/>
      <c r="X45" s="7"/>
      <c r="Y45" s="7"/>
      <c r="Z45" s="7"/>
    </row>
    <row r="46" ht="14.25" customHeight="1">
      <c r="A46" s="23"/>
      <c r="B46" s="93" t="s">
        <v>67</v>
      </c>
      <c r="C46" s="94" t="s">
        <v>68</v>
      </c>
      <c r="D46" s="94" t="s">
        <v>69</v>
      </c>
      <c r="E46" s="93" t="s">
        <v>67</v>
      </c>
      <c r="F46" s="94" t="s">
        <v>68</v>
      </c>
      <c r="G46" s="94" t="s">
        <v>69</v>
      </c>
      <c r="H46" s="93" t="s">
        <v>67</v>
      </c>
      <c r="I46" s="94" t="s">
        <v>68</v>
      </c>
      <c r="J46" s="94" t="s">
        <v>69</v>
      </c>
      <c r="K46" s="93" t="s">
        <v>67</v>
      </c>
      <c r="L46" s="94" t="s">
        <v>68</v>
      </c>
      <c r="M46" s="94" t="s">
        <v>69</v>
      </c>
      <c r="N46" s="93" t="s">
        <v>67</v>
      </c>
      <c r="O46" s="94" t="s">
        <v>68</v>
      </c>
      <c r="P46" s="94" t="s">
        <v>69</v>
      </c>
      <c r="Q46" s="93" t="s">
        <v>67</v>
      </c>
      <c r="R46" s="94" t="s">
        <v>68</v>
      </c>
      <c r="S46" s="94" t="s">
        <v>69</v>
      </c>
      <c r="T46" s="93" t="s">
        <v>67</v>
      </c>
      <c r="U46" s="75" t="s">
        <v>68</v>
      </c>
      <c r="V46" s="93" t="s">
        <v>69</v>
      </c>
      <c r="W46" s="7"/>
      <c r="X46" s="7"/>
      <c r="Y46" s="7"/>
      <c r="Z46" s="7"/>
    </row>
    <row r="47" ht="14.25" customHeight="1">
      <c r="A47" s="77" t="s">
        <v>91</v>
      </c>
      <c r="B47" s="30">
        <v>8.4236267E7</v>
      </c>
      <c r="C47" s="30">
        <v>7.5006036E7</v>
      </c>
      <c r="D47" s="33">
        <v>9230231.0</v>
      </c>
      <c r="E47" s="30">
        <v>2078213.0</v>
      </c>
      <c r="F47" s="30">
        <v>1977847.0</v>
      </c>
      <c r="G47" s="33">
        <v>100366.0</v>
      </c>
      <c r="H47" s="33">
        <v>5602708.0</v>
      </c>
      <c r="I47" s="41">
        <v>2610310.0</v>
      </c>
      <c r="J47" s="41">
        <v>2992398.0</v>
      </c>
      <c r="K47" s="33">
        <v>2.9981057E7</v>
      </c>
      <c r="L47" s="41">
        <v>1.7067715E7</v>
      </c>
      <c r="M47" s="41">
        <v>1.2913342E7</v>
      </c>
      <c r="N47" s="33">
        <v>1928628.0</v>
      </c>
      <c r="O47" s="41">
        <v>1409052.0</v>
      </c>
      <c r="P47" s="41">
        <v>519576.0</v>
      </c>
      <c r="Q47" s="33">
        <v>3450712.0</v>
      </c>
      <c r="R47" s="41">
        <v>2472090.0</v>
      </c>
      <c r="S47" s="41">
        <v>978622.0</v>
      </c>
      <c r="T47" s="33">
        <v>1.27277585E8</v>
      </c>
      <c r="U47" s="78">
        <v>1.0054305E8</v>
      </c>
      <c r="V47" s="78">
        <v>2.6734535E7</v>
      </c>
      <c r="W47" s="7"/>
      <c r="X47" s="7"/>
      <c r="Y47" s="7"/>
      <c r="Z47" s="7"/>
    </row>
    <row r="48" ht="14.25" customHeight="1">
      <c r="A48" s="77" t="s">
        <v>92</v>
      </c>
      <c r="B48" s="30">
        <v>1.6134184E7</v>
      </c>
      <c r="C48" s="30">
        <v>1.2855041E7</v>
      </c>
      <c r="D48" s="33">
        <v>3279143.0</v>
      </c>
      <c r="E48" s="30">
        <v>2621589.0</v>
      </c>
      <c r="F48" s="30">
        <v>1385476.0</v>
      </c>
      <c r="G48" s="33">
        <v>1236113.0</v>
      </c>
      <c r="H48" s="33">
        <v>8251306.0</v>
      </c>
      <c r="I48" s="41">
        <v>4110692.0</v>
      </c>
      <c r="J48" s="41">
        <v>4140614.0</v>
      </c>
      <c r="K48" s="33">
        <v>4.3501041E7</v>
      </c>
      <c r="L48" s="41">
        <v>1.8125643E7</v>
      </c>
      <c r="M48" s="41">
        <v>2.5375398E7</v>
      </c>
      <c r="N48" s="33">
        <v>675743.0</v>
      </c>
      <c r="O48" s="41">
        <v>469214.0</v>
      </c>
      <c r="P48" s="41">
        <v>206529.0</v>
      </c>
      <c r="Q48" s="33">
        <v>392522.0</v>
      </c>
      <c r="R48" s="41">
        <v>277756.0</v>
      </c>
      <c r="S48" s="41">
        <v>114766.0</v>
      </c>
      <c r="T48" s="33">
        <v>7.1576385E7</v>
      </c>
      <c r="U48" s="78">
        <v>3.7223822E7</v>
      </c>
      <c r="V48" s="78">
        <v>3.4352563E7</v>
      </c>
      <c r="W48" s="7"/>
      <c r="X48" s="7"/>
      <c r="Y48" s="7"/>
      <c r="Z48" s="7"/>
    </row>
    <row r="49" ht="14.25" customHeight="1">
      <c r="A49" s="77" t="s">
        <v>93</v>
      </c>
      <c r="B49" s="33">
        <v>3.6702335E7</v>
      </c>
      <c r="C49" s="33">
        <v>2.8005819E7</v>
      </c>
      <c r="D49" s="33">
        <v>8696516.0</v>
      </c>
      <c r="E49" s="33">
        <v>1467892.0</v>
      </c>
      <c r="F49" s="33">
        <v>1219174.0</v>
      </c>
      <c r="G49" s="33">
        <v>1135747.0</v>
      </c>
      <c r="H49" s="33">
        <v>1.3185443E7</v>
      </c>
      <c r="I49" s="41">
        <v>7947788.0</v>
      </c>
      <c r="J49" s="41">
        <v>5237655.0</v>
      </c>
      <c r="K49" s="33">
        <v>1.4789218E7</v>
      </c>
      <c r="L49" s="41">
        <v>9758354.0</v>
      </c>
      <c r="M49" s="41">
        <v>5030864.0</v>
      </c>
      <c r="N49" s="33">
        <v>70613.0</v>
      </c>
      <c r="O49" s="41">
        <v>46702.0</v>
      </c>
      <c r="P49" s="41">
        <v>23911.0</v>
      </c>
      <c r="Q49" s="33">
        <v>166359.0</v>
      </c>
      <c r="R49" s="41">
        <v>142243.0</v>
      </c>
      <c r="S49" s="41">
        <v>24116.0</v>
      </c>
      <c r="T49" s="33">
        <v>6.7268889E7</v>
      </c>
      <c r="U49" s="78">
        <v>4.712008E7</v>
      </c>
      <c r="V49" s="78">
        <v>2.0148809E7</v>
      </c>
      <c r="W49" s="7"/>
      <c r="X49" s="7"/>
      <c r="Y49" s="7"/>
      <c r="Z49" s="7"/>
    </row>
    <row r="50" ht="14.25" customHeight="1">
      <c r="A50" s="81" t="s">
        <v>67</v>
      </c>
      <c r="B50" s="98">
        <v>1.37072786E8</v>
      </c>
      <c r="C50" s="98">
        <v>1.15866896E8</v>
      </c>
      <c r="D50" s="98">
        <v>2.120589E7</v>
      </c>
      <c r="E50" s="82">
        <v>6167694.0</v>
      </c>
      <c r="F50" s="82">
        <v>4582497.0</v>
      </c>
      <c r="G50" s="84">
        <v>1585197.0</v>
      </c>
      <c r="H50" s="98">
        <v>2.7039457E7</v>
      </c>
      <c r="I50" s="46">
        <v>1.466879E7</v>
      </c>
      <c r="J50" s="46">
        <v>1.2370667E7</v>
      </c>
      <c r="K50" s="98">
        <v>8.8271316E7</v>
      </c>
      <c r="L50" s="46">
        <v>4.4951712E7</v>
      </c>
      <c r="M50" s="46">
        <v>4.3319604E7</v>
      </c>
      <c r="N50" s="98">
        <v>2674984.0</v>
      </c>
      <c r="O50" s="46">
        <v>1924968.0</v>
      </c>
      <c r="P50" s="46">
        <v>750016.0</v>
      </c>
      <c r="Q50" s="98">
        <v>4009593.0</v>
      </c>
      <c r="R50" s="46">
        <v>2892089.0</v>
      </c>
      <c r="S50" s="46">
        <v>1117504.0</v>
      </c>
      <c r="T50" s="98">
        <v>2.6523583E8</v>
      </c>
      <c r="U50" s="100">
        <v>1.84886952E8</v>
      </c>
      <c r="V50" s="100">
        <v>8.0348878E7</v>
      </c>
      <c r="W50" s="7"/>
      <c r="X50" s="7"/>
      <c r="Y50" s="7"/>
      <c r="Z50" s="7"/>
    </row>
    <row r="51" ht="14.25" customHeight="1">
      <c r="A51" s="89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89" t="s">
        <v>97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1"/>
      <c r="B54" s="19" t="s">
        <v>38</v>
      </c>
      <c r="C54" s="20"/>
      <c r="D54" s="21"/>
      <c r="E54" s="19" t="s">
        <v>73</v>
      </c>
      <c r="F54" s="20"/>
      <c r="G54" s="21"/>
      <c r="H54" s="72" t="s">
        <v>42</v>
      </c>
      <c r="I54" s="20"/>
      <c r="J54" s="21"/>
      <c r="K54" s="72" t="s">
        <v>74</v>
      </c>
      <c r="L54" s="20"/>
      <c r="M54" s="21"/>
      <c r="N54" s="19" t="s">
        <v>75</v>
      </c>
      <c r="O54" s="20"/>
      <c r="P54" s="21"/>
      <c r="Q54" s="19" t="s">
        <v>48</v>
      </c>
      <c r="R54" s="20"/>
      <c r="S54" s="21"/>
      <c r="T54" s="19" t="s">
        <v>98</v>
      </c>
      <c r="U54" s="20"/>
      <c r="V54" s="21"/>
      <c r="X54" s="7"/>
      <c r="Y54" s="7"/>
      <c r="Z54" s="7"/>
    </row>
    <row r="55" ht="14.25" customHeight="1">
      <c r="A55" s="23"/>
      <c r="B55" s="74" t="s">
        <v>98</v>
      </c>
      <c r="C55" s="74" t="s">
        <v>68</v>
      </c>
      <c r="D55" s="74" t="s">
        <v>69</v>
      </c>
      <c r="E55" s="74" t="s">
        <v>98</v>
      </c>
      <c r="F55" s="74" t="s">
        <v>68</v>
      </c>
      <c r="G55" s="74" t="s">
        <v>69</v>
      </c>
      <c r="H55" s="74" t="s">
        <v>98</v>
      </c>
      <c r="I55" s="74" t="s">
        <v>68</v>
      </c>
      <c r="J55" s="74" t="s">
        <v>69</v>
      </c>
      <c r="K55" s="74" t="s">
        <v>98</v>
      </c>
      <c r="L55" s="74" t="s">
        <v>68</v>
      </c>
      <c r="M55" s="74" t="s">
        <v>69</v>
      </c>
      <c r="N55" s="74" t="s">
        <v>98</v>
      </c>
      <c r="O55" s="74" t="s">
        <v>68</v>
      </c>
      <c r="P55" s="74" t="s">
        <v>69</v>
      </c>
      <c r="Q55" s="74" t="s">
        <v>98</v>
      </c>
      <c r="R55" s="74" t="s">
        <v>68</v>
      </c>
      <c r="S55" s="101" t="s">
        <v>69</v>
      </c>
      <c r="T55" s="75" t="s">
        <v>98</v>
      </c>
      <c r="U55" s="75" t="s">
        <v>68</v>
      </c>
      <c r="V55" s="93" t="s">
        <v>69</v>
      </c>
      <c r="X55" s="7"/>
      <c r="Y55" s="7"/>
      <c r="Z55" s="7"/>
    </row>
    <row r="56" ht="14.25" customHeight="1">
      <c r="A56" s="77" t="s">
        <v>91</v>
      </c>
      <c r="B56" s="36">
        <v>28.31236095692223</v>
      </c>
      <c r="C56" s="31">
        <v>28.003115189198088</v>
      </c>
      <c r="D56" s="31">
        <v>31.103562498736345</v>
      </c>
      <c r="E56" s="36">
        <v>27.70433519076439</v>
      </c>
      <c r="F56" s="31">
        <v>27.954249289782766</v>
      </c>
      <c r="G56" s="31">
        <v>23.554564656183995</v>
      </c>
      <c r="H56" s="36">
        <v>30.194976044322047</v>
      </c>
      <c r="I56" s="31">
        <v>27.15763080412414</v>
      </c>
      <c r="J56" s="31">
        <v>33.459288413802355</v>
      </c>
      <c r="K56" s="36">
        <v>22.033942687311306</v>
      </c>
      <c r="L56" s="31">
        <v>20.94691632875475</v>
      </c>
      <c r="M56" s="31">
        <v>23.656528684590413</v>
      </c>
      <c r="N56" s="36">
        <v>26.635197282105814</v>
      </c>
      <c r="O56" s="31">
        <v>28.614259894807383</v>
      </c>
      <c r="P56" s="31">
        <v>22.42838642838643</v>
      </c>
      <c r="Q56" s="36">
        <v>20.744433222719184</v>
      </c>
      <c r="R56" s="31">
        <v>20.834443002342947</v>
      </c>
      <c r="S56" s="31">
        <v>20.520486475152023</v>
      </c>
      <c r="T56" s="36">
        <v>26.3229040703452</v>
      </c>
      <c r="U56" s="41">
        <v>26.26472545913548</v>
      </c>
      <c r="V56" s="41">
        <v>26.544028507402373</v>
      </c>
      <c r="X56" s="7"/>
      <c r="Y56" s="7"/>
      <c r="Z56" s="7"/>
    </row>
    <row r="57" ht="14.25" customHeight="1">
      <c r="A57" s="77" t="s">
        <v>92</v>
      </c>
      <c r="B57" s="36">
        <v>32.24927642835441</v>
      </c>
      <c r="C57" s="31">
        <v>33.0350831206811</v>
      </c>
      <c r="D57" s="31">
        <v>29.498511195271806</v>
      </c>
      <c r="E57" s="36">
        <v>33.47834804040507</v>
      </c>
      <c r="F57" s="31">
        <v>32.58027042915932</v>
      </c>
      <c r="G57" s="31">
        <v>34.545665418366774</v>
      </c>
      <c r="H57" s="36">
        <v>36.00501808693072</v>
      </c>
      <c r="I57" s="31">
        <v>34.63677114930907</v>
      </c>
      <c r="J57" s="31">
        <v>37.4746721452426</v>
      </c>
      <c r="K57" s="36">
        <v>25.388028342866747</v>
      </c>
      <c r="L57" s="31">
        <v>24.438629867328228</v>
      </c>
      <c r="M57" s="31">
        <v>26.112636053704232</v>
      </c>
      <c r="N57" s="36">
        <v>35.2647427199666</v>
      </c>
      <c r="O57" s="31">
        <v>37.215577411167516</v>
      </c>
      <c r="P57" s="31">
        <v>31.511901129081476</v>
      </c>
      <c r="Q57" s="36">
        <v>26.350832438238452</v>
      </c>
      <c r="R57" s="31">
        <v>26.516085918854415</v>
      </c>
      <c r="S57" s="31">
        <v>25.959285229586065</v>
      </c>
      <c r="T57" s="36">
        <v>28.011181949211807</v>
      </c>
      <c r="U57" s="41">
        <v>28.30491498371608</v>
      </c>
      <c r="V57" s="41">
        <v>27.69970359093614</v>
      </c>
      <c r="X57" s="7"/>
      <c r="Y57" s="7"/>
      <c r="Z57" s="7"/>
    </row>
    <row r="58" ht="14.25" customHeight="1">
      <c r="A58" s="77" t="s">
        <v>93</v>
      </c>
      <c r="B58" s="36">
        <v>30.422392606254014</v>
      </c>
      <c r="C58" s="31">
        <v>30.02158854099668</v>
      </c>
      <c r="D58" s="31">
        <v>31.78911353260055</v>
      </c>
      <c r="E58" s="36">
        <v>31.12776470089276</v>
      </c>
      <c r="F58" s="31">
        <v>31.6430221391679</v>
      </c>
      <c r="G58" s="31">
        <v>131.6350254983774</v>
      </c>
      <c r="H58" s="36">
        <v>34.5250910557227</v>
      </c>
      <c r="I58" s="31">
        <v>32.47069878415479</v>
      </c>
      <c r="J58" s="31">
        <v>38.191751554968974</v>
      </c>
      <c r="K58" s="36">
        <v>31.7008728382677</v>
      </c>
      <c r="L58" s="31">
        <v>33.36919531111081</v>
      </c>
      <c r="M58" s="31">
        <v>28.89839621340931</v>
      </c>
      <c r="N58" s="36">
        <v>26.094974131559496</v>
      </c>
      <c r="O58" s="31">
        <v>27.848539057841382</v>
      </c>
      <c r="P58" s="31">
        <v>23.23712342079689</v>
      </c>
      <c r="Q58" s="36">
        <v>14.000925770072378</v>
      </c>
      <c r="R58" s="31">
        <v>13.670639115809706</v>
      </c>
      <c r="S58" s="31">
        <v>16.327691266079892</v>
      </c>
      <c r="T58" s="36">
        <v>31.78153342880077</v>
      </c>
      <c r="U58" s="41">
        <v>30.986373778417555</v>
      </c>
      <c r="V58" s="41">
        <v>33.81058409348718</v>
      </c>
      <c r="X58" s="7"/>
      <c r="Y58" s="7"/>
      <c r="Z58" s="7"/>
    </row>
    <row r="59" ht="14.25" customHeight="1">
      <c r="A59" s="81" t="s">
        <v>98</v>
      </c>
      <c r="B59" s="36">
        <v>29.276745590743037</v>
      </c>
      <c r="C59" s="31">
        <v>28.963262890084636</v>
      </c>
      <c r="D59" s="31">
        <v>31.116949625086207</v>
      </c>
      <c r="E59" s="36">
        <v>30.764941789123995</v>
      </c>
      <c r="F59" s="31">
        <v>30.186335280981773</v>
      </c>
      <c r="G59" s="31">
        <v>32.56964105935773</v>
      </c>
      <c r="H59" s="36">
        <v>33.9422605949304</v>
      </c>
      <c r="I59" s="31">
        <v>31.9188580505478</v>
      </c>
      <c r="J59" s="31">
        <v>36.701022945061204</v>
      </c>
      <c r="K59" s="36">
        <v>24.930843430593335</v>
      </c>
      <c r="L59" s="31">
        <v>24.312363298870046</v>
      </c>
      <c r="M59" s="31">
        <v>25.606794965842518</v>
      </c>
      <c r="N59" s="36">
        <v>28.373664838719943</v>
      </c>
      <c r="O59" s="31">
        <v>30.301095579901776</v>
      </c>
      <c r="P59" s="31">
        <v>24.39155744902273</v>
      </c>
      <c r="Q59" s="36">
        <v>20.76196911796688</v>
      </c>
      <c r="R59" s="31">
        <v>20.726769102870986</v>
      </c>
      <c r="S59" s="31">
        <v>20.853623945659475</v>
      </c>
      <c r="T59" s="36">
        <v>27.898642943822228</v>
      </c>
      <c r="U59" s="41">
        <v>27.74482325195278</v>
      </c>
      <c r="V59" s="41">
        <v>28.259151468001647</v>
      </c>
      <c r="X59" s="7"/>
      <c r="Y59" s="7"/>
      <c r="Z59" s="7"/>
    </row>
    <row r="60" ht="14.2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52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52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52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52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52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52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52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52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52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52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4.2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4.2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ht="14.25" customHeight="1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ht="14.25" customHeight="1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ht="14.25" customHeight="1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ht="14.25" customHeight="1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ht="14.25" customHeight="1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ht="14.25" customHeight="1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ht="14.25" customHeight="1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ht="14.25" customHeight="1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ht="14.25" customHeight="1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ht="14.25" customHeight="1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ht="14.25" customHeight="1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</sheetData>
  <mergeCells count="39">
    <mergeCell ref="A3:A4"/>
    <mergeCell ref="B3:D3"/>
    <mergeCell ref="E3:H3"/>
    <mergeCell ref="I3:K3"/>
    <mergeCell ref="L3:O3"/>
    <mergeCell ref="P3:R3"/>
    <mergeCell ref="S3:V3"/>
    <mergeCell ref="B27:D27"/>
    <mergeCell ref="E27:G27"/>
    <mergeCell ref="H27:J27"/>
    <mergeCell ref="K27:L27"/>
    <mergeCell ref="N27:P27"/>
    <mergeCell ref="Q27:S27"/>
    <mergeCell ref="T27:V27"/>
    <mergeCell ref="Q36:S36"/>
    <mergeCell ref="T36:V36"/>
    <mergeCell ref="A27:A28"/>
    <mergeCell ref="A36:A37"/>
    <mergeCell ref="B36:D36"/>
    <mergeCell ref="E36:G36"/>
    <mergeCell ref="H36:J36"/>
    <mergeCell ref="K36:M36"/>
    <mergeCell ref="N36:P36"/>
    <mergeCell ref="B45:D45"/>
    <mergeCell ref="E45:G45"/>
    <mergeCell ref="H45:J45"/>
    <mergeCell ref="K45:M45"/>
    <mergeCell ref="N45:P45"/>
    <mergeCell ref="Q45:S45"/>
    <mergeCell ref="T45:V45"/>
    <mergeCell ref="Q54:S54"/>
    <mergeCell ref="T54:V54"/>
    <mergeCell ref="A45:A46"/>
    <mergeCell ref="A54:A55"/>
    <mergeCell ref="B54:D54"/>
    <mergeCell ref="E54:G54"/>
    <mergeCell ref="H54:J54"/>
    <mergeCell ref="K54:M54"/>
    <mergeCell ref="N54:P5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4.43" defaultRowHeight="15.0"/>
  <cols>
    <col customWidth="1" min="2" max="2" width="10.57"/>
    <col customWidth="1" min="3" max="3" width="10.71"/>
    <col customWidth="1" min="4" max="4" width="9.86"/>
    <col customWidth="1" min="5" max="5" width="10.29"/>
    <col customWidth="1" min="6" max="6" width="8.29"/>
    <col customWidth="1" min="7" max="7" width="15.71"/>
    <col customWidth="1" min="8" max="8" width="7.57"/>
    <col customWidth="1" min="9" max="9" width="10.43"/>
  </cols>
  <sheetData>
    <row r="1">
      <c r="A1" s="102" t="s">
        <v>99</v>
      </c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>
      <c r="A2" s="104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>
      <c r="A3" s="105"/>
      <c r="B3" s="106"/>
      <c r="C3" s="107" t="s">
        <v>90</v>
      </c>
      <c r="D3" s="20"/>
      <c r="E3" s="20"/>
      <c r="F3" s="20"/>
      <c r="G3" s="20"/>
      <c r="H3" s="20"/>
      <c r="I3" s="21"/>
      <c r="J3" s="107" t="s">
        <v>100</v>
      </c>
      <c r="K3" s="20"/>
      <c r="L3" s="20"/>
      <c r="M3" s="20"/>
      <c r="N3" s="20"/>
      <c r="O3" s="20"/>
      <c r="P3" s="21"/>
      <c r="Q3" s="107" t="s">
        <v>94</v>
      </c>
      <c r="R3" s="20"/>
      <c r="S3" s="20"/>
      <c r="T3" s="20"/>
      <c r="U3" s="20"/>
      <c r="V3" s="20"/>
      <c r="W3" s="21"/>
      <c r="X3" s="107" t="s">
        <v>101</v>
      </c>
      <c r="Y3" s="20"/>
      <c r="Z3" s="20"/>
      <c r="AA3" s="21"/>
      <c r="AB3" s="107" t="s">
        <v>102</v>
      </c>
      <c r="AC3" s="20"/>
      <c r="AD3" s="20"/>
      <c r="AE3" s="21"/>
    </row>
    <row r="4" ht="40.5" customHeight="1">
      <c r="A4" s="108"/>
      <c r="B4" s="109"/>
      <c r="C4" s="110" t="s">
        <v>91</v>
      </c>
      <c r="D4" s="111" t="s">
        <v>103</v>
      </c>
      <c r="E4" s="110" t="s">
        <v>92</v>
      </c>
      <c r="F4" s="111" t="s">
        <v>104</v>
      </c>
      <c r="G4" s="110" t="s">
        <v>93</v>
      </c>
      <c r="H4" s="111" t="s">
        <v>105</v>
      </c>
      <c r="I4" s="27" t="s">
        <v>67</v>
      </c>
      <c r="J4" s="110" t="s">
        <v>91</v>
      </c>
      <c r="K4" s="111" t="s">
        <v>103</v>
      </c>
      <c r="L4" s="110" t="s">
        <v>92</v>
      </c>
      <c r="M4" s="111" t="s">
        <v>104</v>
      </c>
      <c r="N4" s="110" t="s">
        <v>93</v>
      </c>
      <c r="O4" s="111" t="s">
        <v>105</v>
      </c>
      <c r="P4" s="27" t="s">
        <v>67</v>
      </c>
      <c r="Q4" s="110" t="s">
        <v>91</v>
      </c>
      <c r="R4" s="111" t="s">
        <v>103</v>
      </c>
      <c r="S4" s="110" t="s">
        <v>92</v>
      </c>
      <c r="T4" s="111" t="s">
        <v>104</v>
      </c>
      <c r="U4" s="110" t="s">
        <v>93</v>
      </c>
      <c r="V4" s="111" t="s">
        <v>105</v>
      </c>
      <c r="W4" s="27" t="s">
        <v>67</v>
      </c>
      <c r="X4" s="110" t="s">
        <v>91</v>
      </c>
      <c r="Y4" s="110" t="s">
        <v>92</v>
      </c>
      <c r="Z4" s="110" t="s">
        <v>93</v>
      </c>
      <c r="AA4" s="27" t="s">
        <v>67</v>
      </c>
      <c r="AB4" s="110" t="s">
        <v>91</v>
      </c>
      <c r="AC4" s="110" t="s">
        <v>92</v>
      </c>
      <c r="AD4" s="110" t="s">
        <v>93</v>
      </c>
      <c r="AE4" s="27" t="s">
        <v>67</v>
      </c>
    </row>
    <row r="5">
      <c r="A5" s="112" t="s">
        <v>38</v>
      </c>
      <c r="B5" s="74" t="s">
        <v>67</v>
      </c>
      <c r="C5" s="35">
        <v>804816.0</v>
      </c>
      <c r="D5" s="113"/>
      <c r="E5" s="35">
        <v>35089.0</v>
      </c>
      <c r="F5" s="113"/>
      <c r="G5" s="35">
        <v>138385.0</v>
      </c>
      <c r="H5" s="113"/>
      <c r="I5" s="114">
        <v>978290.0</v>
      </c>
      <c r="J5" s="35">
        <v>8.4236267E7</v>
      </c>
      <c r="K5" s="36"/>
      <c r="L5" s="35">
        <v>1.6134184E7</v>
      </c>
      <c r="M5" s="36"/>
      <c r="N5" s="36">
        <v>3.6702335E7</v>
      </c>
      <c r="O5" s="36"/>
      <c r="P5" s="114">
        <v>1.37072786E8</v>
      </c>
      <c r="Q5" s="35">
        <v>2975247.0</v>
      </c>
      <c r="R5" s="36"/>
      <c r="S5" s="35">
        <v>500296.0</v>
      </c>
      <c r="T5" s="36"/>
      <c r="U5" s="36">
        <v>1206425.0</v>
      </c>
      <c r="V5" s="36"/>
      <c r="W5" s="114">
        <v>4681968.0</v>
      </c>
      <c r="X5" s="35">
        <v>104.6652</v>
      </c>
      <c r="Y5" s="35">
        <v>459.8075</v>
      </c>
      <c r="Z5" s="35">
        <v>265.219</v>
      </c>
      <c r="AA5" s="35">
        <v>140.1147</v>
      </c>
      <c r="AB5" s="36">
        <v>28.31236095692223</v>
      </c>
      <c r="AC5" s="36">
        <v>32.24927642835441</v>
      </c>
      <c r="AD5" s="36">
        <v>30.422392606254014</v>
      </c>
      <c r="AE5" s="36">
        <v>29.276745590743037</v>
      </c>
    </row>
    <row r="6">
      <c r="A6" s="115"/>
      <c r="B6" s="116" t="s">
        <v>68</v>
      </c>
      <c r="C6" s="117">
        <v>746624.0</v>
      </c>
      <c r="D6" s="113"/>
      <c r="E6" s="117">
        <v>30779.0</v>
      </c>
      <c r="F6" s="113"/>
      <c r="G6" s="117">
        <v>122345.0</v>
      </c>
      <c r="H6" s="113"/>
      <c r="I6" s="118">
        <v>899748.0</v>
      </c>
      <c r="J6" s="119">
        <v>7.5006036E7</v>
      </c>
      <c r="K6" s="113"/>
      <c r="L6" s="119">
        <v>1.2855041E7</v>
      </c>
      <c r="M6" s="113"/>
      <c r="N6" s="113">
        <v>2.8005819E7</v>
      </c>
      <c r="O6" s="113"/>
      <c r="P6" s="120">
        <v>1.15866896E8</v>
      </c>
      <c r="Q6" s="119">
        <v>2678489.0</v>
      </c>
      <c r="R6" s="113"/>
      <c r="S6" s="119">
        <v>389133.0</v>
      </c>
      <c r="T6" s="113"/>
      <c r="U6" s="113">
        <v>932856.0</v>
      </c>
      <c r="V6" s="113"/>
      <c r="W6" s="120">
        <v>4000478.0</v>
      </c>
      <c r="X6" s="119">
        <v>100.4603</v>
      </c>
      <c r="Y6" s="119">
        <v>417.6562</v>
      </c>
      <c r="Z6" s="119">
        <v>228.9086</v>
      </c>
      <c r="AA6" s="119">
        <v>128.7771</v>
      </c>
      <c r="AB6" s="36">
        <v>28.003115189198088</v>
      </c>
      <c r="AC6" s="36">
        <v>33.0350831206811</v>
      </c>
      <c r="AD6" s="36">
        <v>30.02158854099668</v>
      </c>
      <c r="AE6" s="36">
        <v>28.963262890084636</v>
      </c>
    </row>
    <row r="7">
      <c r="A7" s="109"/>
      <c r="B7" s="116" t="s">
        <v>69</v>
      </c>
      <c r="C7" s="117">
        <v>58192.0</v>
      </c>
      <c r="D7" s="113"/>
      <c r="E7" s="117">
        <v>4310.0</v>
      </c>
      <c r="F7" s="113"/>
      <c r="G7" s="117">
        <v>16040.0</v>
      </c>
      <c r="H7" s="113"/>
      <c r="I7" s="121">
        <v>78542.0</v>
      </c>
      <c r="J7" s="113">
        <v>9230231.0</v>
      </c>
      <c r="K7" s="113"/>
      <c r="L7" s="113">
        <v>3279143.0</v>
      </c>
      <c r="M7" s="113"/>
      <c r="N7" s="113">
        <v>8696516.0</v>
      </c>
      <c r="O7" s="113"/>
      <c r="P7" s="122">
        <v>2.120589E7</v>
      </c>
      <c r="Q7" s="113">
        <v>296758.0</v>
      </c>
      <c r="R7" s="113"/>
      <c r="S7" s="113">
        <v>111163.0</v>
      </c>
      <c r="T7" s="113"/>
      <c r="U7" s="113">
        <v>273569.0</v>
      </c>
      <c r="V7" s="113"/>
      <c r="W7" s="122">
        <v>681490.0</v>
      </c>
      <c r="X7" s="119">
        <v>158.6168</v>
      </c>
      <c r="Y7" s="119">
        <v>760.822</v>
      </c>
      <c r="Z7" s="119">
        <v>542.1768</v>
      </c>
      <c r="AA7" s="119">
        <v>269.9943</v>
      </c>
      <c r="AB7" s="36">
        <v>31.103562498736345</v>
      </c>
      <c r="AC7" s="36">
        <v>29.498511195271806</v>
      </c>
      <c r="AD7" s="36">
        <v>31.78911353260055</v>
      </c>
      <c r="AE7" s="36">
        <v>31.116949625086207</v>
      </c>
    </row>
    <row r="8">
      <c r="A8" s="112" t="s">
        <v>73</v>
      </c>
      <c r="B8" s="74" t="s">
        <v>67</v>
      </c>
      <c r="C8" s="35">
        <v>33475.0</v>
      </c>
      <c r="D8" s="113"/>
      <c r="E8" s="35">
        <v>4285.0</v>
      </c>
      <c r="F8" s="113"/>
      <c r="G8" s="35">
        <v>6336.0</v>
      </c>
      <c r="H8" s="113"/>
      <c r="I8" s="114">
        <v>44096.0</v>
      </c>
      <c r="J8" s="35">
        <v>2078213.0</v>
      </c>
      <c r="K8" s="36"/>
      <c r="L8" s="35">
        <v>2621589.0</v>
      </c>
      <c r="M8" s="36"/>
      <c r="N8" s="36">
        <v>1467892.0</v>
      </c>
      <c r="O8" s="36"/>
      <c r="P8" s="114">
        <v>6167694.0</v>
      </c>
      <c r="Q8" s="35">
        <v>75014.0</v>
      </c>
      <c r="R8" s="36"/>
      <c r="S8" s="35">
        <v>78307.0</v>
      </c>
      <c r="T8" s="36"/>
      <c r="U8" s="36">
        <v>47157.0</v>
      </c>
      <c r="V8" s="36"/>
      <c r="W8" s="114">
        <v>200478.0</v>
      </c>
      <c r="X8" s="123">
        <v>62.08254</v>
      </c>
      <c r="Y8" s="35">
        <v>611.8061</v>
      </c>
      <c r="Z8" s="35">
        <v>231.6749</v>
      </c>
      <c r="AA8" s="35">
        <v>139.8697</v>
      </c>
      <c r="AB8" s="36">
        <v>27.70433519076439</v>
      </c>
      <c r="AC8" s="36">
        <v>33.47834804040507</v>
      </c>
      <c r="AD8" s="36">
        <v>31.12776470089276</v>
      </c>
      <c r="AE8" s="36">
        <v>30.764941789123995</v>
      </c>
    </row>
    <row r="9">
      <c r="A9" s="115"/>
      <c r="B9" s="116" t="s">
        <v>68</v>
      </c>
      <c r="C9" s="117">
        <v>32282.0</v>
      </c>
      <c r="D9" s="113"/>
      <c r="E9" s="117">
        <v>3078.0</v>
      </c>
      <c r="F9" s="113"/>
      <c r="G9" s="117">
        <v>5462.0</v>
      </c>
      <c r="H9" s="113"/>
      <c r="I9" s="118">
        <v>40822.0</v>
      </c>
      <c r="J9" s="119">
        <v>1977847.0</v>
      </c>
      <c r="K9" s="113"/>
      <c r="L9" s="119">
        <v>1385476.0</v>
      </c>
      <c r="M9" s="113"/>
      <c r="N9" s="113">
        <v>1219174.0</v>
      </c>
      <c r="O9" s="113"/>
      <c r="P9" s="120">
        <v>4582497.0</v>
      </c>
      <c r="Q9" s="119">
        <v>70753.0</v>
      </c>
      <c r="R9" s="113"/>
      <c r="S9" s="119">
        <v>42525.0</v>
      </c>
      <c r="T9" s="113"/>
      <c r="U9" s="113">
        <v>38529.0</v>
      </c>
      <c r="V9" s="113"/>
      <c r="W9" s="120">
        <v>151807.0</v>
      </c>
      <c r="X9" s="124">
        <v>61.2678</v>
      </c>
      <c r="Y9" s="119">
        <v>450.1222</v>
      </c>
      <c r="Z9" s="119">
        <v>223.2102</v>
      </c>
      <c r="AA9" s="119">
        <v>112.2556</v>
      </c>
      <c r="AB9" s="36">
        <v>27.954249289782766</v>
      </c>
      <c r="AC9" s="36">
        <v>32.58027042915932</v>
      </c>
      <c r="AD9" s="36">
        <v>31.6430221391679</v>
      </c>
      <c r="AE9" s="36">
        <v>30.186335280981773</v>
      </c>
    </row>
    <row r="10">
      <c r="A10" s="109"/>
      <c r="B10" s="116" t="s">
        <v>69</v>
      </c>
      <c r="C10" s="117">
        <v>1193.0</v>
      </c>
      <c r="D10" s="113"/>
      <c r="E10" s="117">
        <v>1207.0</v>
      </c>
      <c r="F10" s="113"/>
      <c r="G10" s="117">
        <v>874.0</v>
      </c>
      <c r="H10" s="113"/>
      <c r="I10" s="121">
        <v>3274.0</v>
      </c>
      <c r="J10" s="113">
        <v>100366.0</v>
      </c>
      <c r="K10" s="113"/>
      <c r="L10" s="113">
        <v>1236113.0</v>
      </c>
      <c r="M10" s="113"/>
      <c r="N10" s="113">
        <v>1135747.0</v>
      </c>
      <c r="O10" s="113"/>
      <c r="P10" s="122">
        <v>1585197.0</v>
      </c>
      <c r="Q10" s="113">
        <v>4261.0</v>
      </c>
      <c r="R10" s="113"/>
      <c r="S10" s="113">
        <v>35782.0</v>
      </c>
      <c r="T10" s="113"/>
      <c r="U10" s="113">
        <v>8628.0</v>
      </c>
      <c r="V10" s="113"/>
      <c r="W10" s="122">
        <v>48671.0</v>
      </c>
      <c r="X10" s="124">
        <v>84.12909</v>
      </c>
      <c r="Y10" s="119">
        <v>1024.12</v>
      </c>
      <c r="Z10" s="119">
        <v>284.5744</v>
      </c>
      <c r="AA10" s="119">
        <v>484.1775</v>
      </c>
      <c r="AB10" s="36">
        <v>23.554564656183995</v>
      </c>
      <c r="AC10" s="36">
        <v>34.545665418366774</v>
      </c>
      <c r="AD10" s="36">
        <v>131.6350254983774</v>
      </c>
      <c r="AE10" s="36">
        <v>32.56964105935773</v>
      </c>
    </row>
    <row r="11">
      <c r="A11" s="112" t="s">
        <v>42</v>
      </c>
      <c r="B11" s="74" t="s">
        <v>67</v>
      </c>
      <c r="C11" s="36">
        <v>29702.0</v>
      </c>
      <c r="D11" s="113"/>
      <c r="E11" s="36">
        <v>13195.0</v>
      </c>
      <c r="F11" s="113"/>
      <c r="G11" s="36">
        <v>39583.0</v>
      </c>
      <c r="H11" s="113"/>
      <c r="I11" s="125">
        <v>82480.0</v>
      </c>
      <c r="J11" s="36">
        <v>5602708.0</v>
      </c>
      <c r="K11" s="36"/>
      <c r="L11" s="36">
        <v>8251306.0</v>
      </c>
      <c r="M11" s="36"/>
      <c r="N11" s="36">
        <v>1.3185443E7</v>
      </c>
      <c r="O11" s="36"/>
      <c r="P11" s="125">
        <v>2.7039457E7</v>
      </c>
      <c r="Q11" s="36">
        <v>185551.0</v>
      </c>
      <c r="R11" s="36"/>
      <c r="S11" s="36">
        <v>229171.0</v>
      </c>
      <c r="T11" s="36"/>
      <c r="U11" s="36">
        <v>381909.0</v>
      </c>
      <c r="V11" s="36"/>
      <c r="W11" s="125">
        <v>796631.0</v>
      </c>
      <c r="X11" s="35">
        <v>188.6307</v>
      </c>
      <c r="Y11" s="35">
        <v>625.3358</v>
      </c>
      <c r="Z11" s="35">
        <v>333.1087</v>
      </c>
      <c r="AA11" s="35">
        <v>327.8305</v>
      </c>
      <c r="AB11" s="36">
        <v>30.194976044322047</v>
      </c>
      <c r="AC11" s="36">
        <v>36.00501808693072</v>
      </c>
      <c r="AD11" s="36">
        <v>34.5250910557227</v>
      </c>
      <c r="AE11" s="36">
        <v>33.9422605949304</v>
      </c>
    </row>
    <row r="12">
      <c r="A12" s="115"/>
      <c r="B12" s="116" t="s">
        <v>68</v>
      </c>
      <c r="C12" s="117">
        <v>17705.0</v>
      </c>
      <c r="D12" s="113"/>
      <c r="E12" s="117">
        <v>8298.0</v>
      </c>
      <c r="F12" s="113"/>
      <c r="G12" s="117">
        <v>29408.0</v>
      </c>
      <c r="H12" s="113"/>
      <c r="I12" s="118">
        <v>55411.0</v>
      </c>
      <c r="J12" s="126">
        <v>2610310.0</v>
      </c>
      <c r="K12" s="113"/>
      <c r="L12" s="126">
        <v>4110692.0</v>
      </c>
      <c r="M12" s="113"/>
      <c r="N12" s="126">
        <v>7947788.0</v>
      </c>
      <c r="O12" s="113"/>
      <c r="P12" s="127">
        <v>1.466879E7</v>
      </c>
      <c r="Q12" s="126">
        <v>96117.0</v>
      </c>
      <c r="R12" s="113"/>
      <c r="S12" s="126">
        <v>118680.0</v>
      </c>
      <c r="T12" s="113"/>
      <c r="U12" s="119">
        <v>244768.0</v>
      </c>
      <c r="V12" s="113"/>
      <c r="W12" s="122">
        <v>459565.0</v>
      </c>
      <c r="X12" s="119">
        <v>147.4335</v>
      </c>
      <c r="Y12" s="119">
        <v>495.3835</v>
      </c>
      <c r="Z12" s="119">
        <v>270.2594</v>
      </c>
      <c r="AA12" s="119">
        <v>264.727</v>
      </c>
      <c r="AB12" s="36">
        <v>27.15763080412414</v>
      </c>
      <c r="AC12" s="36">
        <v>34.63677114930907</v>
      </c>
      <c r="AD12" s="36">
        <v>32.47069878415479</v>
      </c>
      <c r="AE12" s="36">
        <v>31.9188580505478</v>
      </c>
    </row>
    <row r="13">
      <c r="A13" s="109"/>
      <c r="B13" s="116" t="s">
        <v>69</v>
      </c>
      <c r="C13" s="117">
        <v>11997.0</v>
      </c>
      <c r="D13" s="113"/>
      <c r="E13" s="117">
        <v>4897.0</v>
      </c>
      <c r="F13" s="113"/>
      <c r="G13" s="117">
        <v>10175.0</v>
      </c>
      <c r="H13" s="113"/>
      <c r="I13" s="121">
        <v>27069.0</v>
      </c>
      <c r="J13" s="126">
        <v>2992398.0</v>
      </c>
      <c r="K13" s="113"/>
      <c r="L13" s="126">
        <v>4140614.0</v>
      </c>
      <c r="M13" s="113"/>
      <c r="N13" s="126">
        <v>5237655.0</v>
      </c>
      <c r="O13" s="113"/>
      <c r="P13" s="127">
        <v>1.2370667E7</v>
      </c>
      <c r="Q13" s="126">
        <v>89434.0</v>
      </c>
      <c r="R13" s="113"/>
      <c r="S13" s="126">
        <v>110491.0</v>
      </c>
      <c r="T13" s="113"/>
      <c r="U13" s="126">
        <v>137141.0</v>
      </c>
      <c r="V13" s="113"/>
      <c r="W13" s="122">
        <v>337066.0</v>
      </c>
      <c r="X13" s="119">
        <v>249.4289</v>
      </c>
      <c r="Y13" s="119">
        <v>845.5409</v>
      </c>
      <c r="Z13" s="119">
        <v>514.7572</v>
      </c>
      <c r="AA13" s="119">
        <v>457.005</v>
      </c>
      <c r="AB13" s="36">
        <v>33.459288413802355</v>
      </c>
      <c r="AC13" s="36">
        <v>37.4746721452426</v>
      </c>
      <c r="AD13" s="36">
        <v>38.191751554968974</v>
      </c>
      <c r="AE13" s="36">
        <v>36.701022945061204</v>
      </c>
    </row>
    <row r="14">
      <c r="A14" s="112" t="s">
        <v>74</v>
      </c>
      <c r="B14" s="74" t="s">
        <v>67</v>
      </c>
      <c r="C14" s="36">
        <v>192237.0</v>
      </c>
      <c r="D14" s="113"/>
      <c r="E14" s="36">
        <v>82077.0</v>
      </c>
      <c r="F14" s="113"/>
      <c r="G14" s="36">
        <v>61530.0</v>
      </c>
      <c r="H14" s="113"/>
      <c r="I14" s="125">
        <v>335844.0</v>
      </c>
      <c r="J14" s="36">
        <v>2.9981057E7</v>
      </c>
      <c r="K14" s="36"/>
      <c r="L14" s="36">
        <v>4.3501041E7</v>
      </c>
      <c r="M14" s="36"/>
      <c r="N14" s="36">
        <v>1.4789218E7</v>
      </c>
      <c r="O14" s="36"/>
      <c r="P14" s="125">
        <v>8.8271316E7</v>
      </c>
      <c r="Q14" s="36">
        <v>1360676.0</v>
      </c>
      <c r="R14" s="36"/>
      <c r="S14" s="36">
        <v>1713447.0</v>
      </c>
      <c r="T14" s="36"/>
      <c r="U14" s="36">
        <v>466524.0</v>
      </c>
      <c r="V14" s="36"/>
      <c r="W14" s="125">
        <v>3540647.0</v>
      </c>
      <c r="X14" s="35">
        <v>155.9588</v>
      </c>
      <c r="Y14" s="35">
        <v>530.0028</v>
      </c>
      <c r="Z14" s="35">
        <v>240.3578</v>
      </c>
      <c r="AA14" s="35">
        <v>262.8343</v>
      </c>
      <c r="AB14" s="36">
        <v>22.033942687311306</v>
      </c>
      <c r="AC14" s="36">
        <v>25.388028342866747</v>
      </c>
      <c r="AD14" s="36">
        <v>31.7008728382677</v>
      </c>
      <c r="AE14" s="36">
        <v>24.930843430593335</v>
      </c>
    </row>
    <row r="15">
      <c r="A15" s="115"/>
      <c r="B15" s="116" t="s">
        <v>68</v>
      </c>
      <c r="C15" s="117">
        <v>121993.0</v>
      </c>
      <c r="D15" s="113"/>
      <c r="E15" s="117">
        <v>40518.0</v>
      </c>
      <c r="F15" s="113"/>
      <c r="G15" s="128">
        <v>41341.0</v>
      </c>
      <c r="H15" s="113"/>
      <c r="I15" s="118">
        <v>203852.0</v>
      </c>
      <c r="J15" s="126">
        <v>1.7067715E7</v>
      </c>
      <c r="K15" s="113"/>
      <c r="L15" s="126">
        <v>1.8125643E7</v>
      </c>
      <c r="M15" s="113"/>
      <c r="N15" s="126">
        <v>9758354.0</v>
      </c>
      <c r="O15" s="113"/>
      <c r="P15" s="127">
        <v>4.4951712E7</v>
      </c>
      <c r="Q15" s="126">
        <v>814808.0</v>
      </c>
      <c r="R15" s="113"/>
      <c r="S15" s="126">
        <v>741680.0</v>
      </c>
      <c r="T15" s="113"/>
      <c r="U15" s="119">
        <v>292436.0</v>
      </c>
      <c r="V15" s="113"/>
      <c r="W15" s="122">
        <v>1848924.0</v>
      </c>
      <c r="X15" s="119">
        <v>139.9073</v>
      </c>
      <c r="Y15" s="119">
        <v>447.3479</v>
      </c>
      <c r="Z15" s="119">
        <v>236.0454</v>
      </c>
      <c r="AA15" s="119">
        <v>220.5115</v>
      </c>
      <c r="AB15" s="36">
        <v>20.94691632875475</v>
      </c>
      <c r="AC15" s="36">
        <v>24.438629867328228</v>
      </c>
      <c r="AD15" s="36">
        <v>33.36919531111081</v>
      </c>
      <c r="AE15" s="36">
        <v>24.312363298870046</v>
      </c>
    </row>
    <row r="16">
      <c r="A16" s="109"/>
      <c r="B16" s="116" t="s">
        <v>69</v>
      </c>
      <c r="C16" s="117">
        <v>70244.0</v>
      </c>
      <c r="D16" s="113"/>
      <c r="E16" s="117">
        <v>41559.0</v>
      </c>
      <c r="F16" s="113"/>
      <c r="G16" s="128">
        <v>20189.0</v>
      </c>
      <c r="H16" s="113"/>
      <c r="I16" s="121">
        <v>131992.0</v>
      </c>
      <c r="J16" s="126">
        <v>1.2913342E7</v>
      </c>
      <c r="K16" s="113"/>
      <c r="L16" s="126">
        <v>2.5375398E7</v>
      </c>
      <c r="M16" s="113"/>
      <c r="N16" s="126">
        <v>5030864.0</v>
      </c>
      <c r="O16" s="113"/>
      <c r="P16" s="127">
        <v>4.3319604E7</v>
      </c>
      <c r="Q16" s="126">
        <v>545868.0</v>
      </c>
      <c r="R16" s="113"/>
      <c r="S16" s="126">
        <v>971767.0</v>
      </c>
      <c r="T16" s="113"/>
      <c r="U16" s="126">
        <v>174088.0</v>
      </c>
      <c r="V16" s="113"/>
      <c r="W16" s="122">
        <v>1691723.0</v>
      </c>
      <c r="X16" s="119">
        <v>183.8355</v>
      </c>
      <c r="Y16" s="119">
        <v>610.5873</v>
      </c>
      <c r="Z16" s="119">
        <v>249.1884</v>
      </c>
      <c r="AA16" s="119">
        <v>328.1987</v>
      </c>
      <c r="AB16" s="36">
        <v>23.656528684590413</v>
      </c>
      <c r="AC16" s="36">
        <v>26.112636053704232</v>
      </c>
      <c r="AD16" s="36">
        <v>28.89839621340931</v>
      </c>
      <c r="AE16" s="36">
        <v>25.606794965842518</v>
      </c>
    </row>
    <row r="17">
      <c r="A17" s="112" t="s">
        <v>75</v>
      </c>
      <c r="B17" s="74" t="s">
        <v>67</v>
      </c>
      <c r="C17" s="36">
        <v>17059.0</v>
      </c>
      <c r="D17" s="113"/>
      <c r="E17" s="36">
        <v>2251.0</v>
      </c>
      <c r="F17" s="113"/>
      <c r="G17" s="36">
        <v>655.0</v>
      </c>
      <c r="H17" s="113"/>
      <c r="I17" s="125">
        <v>19965.0</v>
      </c>
      <c r="J17" s="36">
        <v>1928628.0</v>
      </c>
      <c r="K17" s="36"/>
      <c r="L17" s="36">
        <v>675743.0</v>
      </c>
      <c r="M17" s="36"/>
      <c r="N17" s="36">
        <v>70613.0</v>
      </c>
      <c r="O17" s="36"/>
      <c r="P17" s="125">
        <v>2674984.0</v>
      </c>
      <c r="Q17" s="36">
        <v>72409.0</v>
      </c>
      <c r="R17" s="36"/>
      <c r="S17" s="36">
        <v>19162.0</v>
      </c>
      <c r="T17" s="36"/>
      <c r="U17" s="36">
        <v>2706.0</v>
      </c>
      <c r="V17" s="36"/>
      <c r="W17" s="125">
        <v>94277.0</v>
      </c>
      <c r="X17" s="35">
        <v>113.0563</v>
      </c>
      <c r="Y17" s="35">
        <v>300.1968</v>
      </c>
      <c r="Z17" s="35">
        <v>107.8061</v>
      </c>
      <c r="AA17" s="35">
        <v>133.9837</v>
      </c>
      <c r="AB17" s="36">
        <v>26.635197282105814</v>
      </c>
      <c r="AC17" s="36">
        <v>35.2647427199666</v>
      </c>
      <c r="AD17" s="36">
        <v>26.094974131559496</v>
      </c>
      <c r="AE17" s="36">
        <v>28.373664838719943</v>
      </c>
    </row>
    <row r="18">
      <c r="A18" s="115"/>
      <c r="B18" s="116" t="s">
        <v>68</v>
      </c>
      <c r="C18" s="128">
        <v>11418.0</v>
      </c>
      <c r="D18" s="113"/>
      <c r="E18" s="128">
        <v>1569.0</v>
      </c>
      <c r="F18" s="113"/>
      <c r="G18" s="128">
        <v>404.0</v>
      </c>
      <c r="H18" s="113"/>
      <c r="I18" s="118">
        <v>13391.0</v>
      </c>
      <c r="J18" s="126">
        <v>1409052.0</v>
      </c>
      <c r="K18" s="113"/>
      <c r="L18" s="126">
        <v>469214.0</v>
      </c>
      <c r="M18" s="113"/>
      <c r="N18" s="126">
        <v>46702.0</v>
      </c>
      <c r="O18" s="113"/>
      <c r="P18" s="127">
        <v>1924968.0</v>
      </c>
      <c r="Q18" s="126">
        <v>49243.0</v>
      </c>
      <c r="R18" s="113"/>
      <c r="S18" s="126">
        <v>12608.0</v>
      </c>
      <c r="T18" s="113"/>
      <c r="U18" s="119">
        <v>1677.0</v>
      </c>
      <c r="V18" s="113"/>
      <c r="W18" s="122">
        <v>63528.0</v>
      </c>
      <c r="X18" s="119">
        <v>123.4062</v>
      </c>
      <c r="Y18" s="119">
        <v>299.0529</v>
      </c>
      <c r="Z18" s="119">
        <v>115.599</v>
      </c>
      <c r="AA18" s="119">
        <v>143.7509</v>
      </c>
      <c r="AB18" s="36">
        <v>28.614259894807383</v>
      </c>
      <c r="AC18" s="36">
        <v>37.215577411167516</v>
      </c>
      <c r="AD18" s="36">
        <v>27.848539057841382</v>
      </c>
      <c r="AE18" s="36">
        <v>30.301095579901776</v>
      </c>
    </row>
    <row r="19">
      <c r="A19" s="109"/>
      <c r="B19" s="116" t="s">
        <v>69</v>
      </c>
      <c r="C19" s="128">
        <v>5641.0</v>
      </c>
      <c r="D19" s="113"/>
      <c r="E19" s="128">
        <v>682.0</v>
      </c>
      <c r="F19" s="113"/>
      <c r="G19" s="128">
        <v>251.0</v>
      </c>
      <c r="H19" s="113"/>
      <c r="I19" s="118">
        <v>6574.0</v>
      </c>
      <c r="J19" s="126">
        <v>519576.0</v>
      </c>
      <c r="K19" s="113"/>
      <c r="L19" s="126">
        <v>206529.0</v>
      </c>
      <c r="M19" s="113"/>
      <c r="N19" s="126">
        <v>23911.0</v>
      </c>
      <c r="O19" s="113"/>
      <c r="P19" s="127">
        <v>750016.0</v>
      </c>
      <c r="Q19" s="126">
        <v>23166.0</v>
      </c>
      <c r="R19" s="113"/>
      <c r="S19" s="126">
        <v>6554.0</v>
      </c>
      <c r="T19" s="113"/>
      <c r="U19" s="126">
        <v>1029.0</v>
      </c>
      <c r="V19" s="113"/>
      <c r="W19" s="122">
        <v>30749.0</v>
      </c>
      <c r="X19" s="119">
        <v>92.10707</v>
      </c>
      <c r="Y19" s="119">
        <v>302.8284</v>
      </c>
      <c r="Z19" s="119">
        <v>95.26295</v>
      </c>
      <c r="AA19" s="119">
        <v>114.0882</v>
      </c>
      <c r="AB19" s="36">
        <v>22.42838642838643</v>
      </c>
      <c r="AC19" s="36">
        <v>31.511901129081476</v>
      </c>
      <c r="AD19" s="36">
        <v>23.23712342079689</v>
      </c>
      <c r="AE19" s="36">
        <v>24.39155744902273</v>
      </c>
    </row>
    <row r="20">
      <c r="A20" s="112" t="s">
        <v>48</v>
      </c>
      <c r="B20" s="74" t="s">
        <v>67</v>
      </c>
      <c r="C20" s="36">
        <v>25263.0</v>
      </c>
      <c r="D20" s="113"/>
      <c r="E20" s="36">
        <v>1405.0</v>
      </c>
      <c r="F20" s="113"/>
      <c r="G20" s="36">
        <v>1772.0</v>
      </c>
      <c r="H20" s="113"/>
      <c r="I20" s="125">
        <v>28440.0</v>
      </c>
      <c r="J20" s="36">
        <v>3450712.0</v>
      </c>
      <c r="K20" s="36"/>
      <c r="L20" s="36">
        <v>392522.0</v>
      </c>
      <c r="M20" s="36"/>
      <c r="N20" s="36">
        <v>166359.0</v>
      </c>
      <c r="O20" s="36"/>
      <c r="P20" s="125">
        <v>4009593.0</v>
      </c>
      <c r="Q20" s="36">
        <v>166344.0</v>
      </c>
      <c r="R20" s="36"/>
      <c r="S20" s="36">
        <v>14896.0</v>
      </c>
      <c r="T20" s="36"/>
      <c r="U20" s="36">
        <v>11882.0</v>
      </c>
      <c r="V20" s="36"/>
      <c r="W20" s="125">
        <v>193122.0</v>
      </c>
      <c r="X20" s="35">
        <v>136.5915</v>
      </c>
      <c r="Y20" s="35">
        <v>279.3751</v>
      </c>
      <c r="Z20" s="35">
        <v>315.9274</v>
      </c>
      <c r="AA20" s="35">
        <v>140.9843</v>
      </c>
      <c r="AB20" s="36">
        <v>20.744433222719184</v>
      </c>
      <c r="AC20" s="36">
        <v>26.350832438238452</v>
      </c>
      <c r="AD20" s="36">
        <v>14.000925770072378</v>
      </c>
      <c r="AE20" s="36">
        <v>20.76196911796688</v>
      </c>
    </row>
    <row r="21">
      <c r="A21" s="115"/>
      <c r="B21" s="116" t="s">
        <v>68</v>
      </c>
      <c r="C21" s="128">
        <v>19016.0</v>
      </c>
      <c r="D21" s="113"/>
      <c r="E21" s="128">
        <v>1005.0</v>
      </c>
      <c r="F21" s="113"/>
      <c r="G21" s="128">
        <v>1543.0</v>
      </c>
      <c r="H21" s="113"/>
      <c r="I21" s="118">
        <v>21564.0</v>
      </c>
      <c r="J21" s="126">
        <v>2472090.0</v>
      </c>
      <c r="K21" s="113"/>
      <c r="L21" s="126">
        <v>277756.0</v>
      </c>
      <c r="M21" s="113"/>
      <c r="N21" s="126">
        <v>142243.0</v>
      </c>
      <c r="O21" s="113"/>
      <c r="P21" s="127">
        <v>2892089.0</v>
      </c>
      <c r="Q21" s="126">
        <v>118654.0</v>
      </c>
      <c r="R21" s="113"/>
      <c r="S21" s="126">
        <v>10475.0</v>
      </c>
      <c r="T21" s="113"/>
      <c r="U21" s="113">
        <v>10405.0</v>
      </c>
      <c r="V21" s="113"/>
      <c r="W21" s="122">
        <v>139534.0</v>
      </c>
      <c r="X21" s="119">
        <v>130.0005</v>
      </c>
      <c r="Y21" s="119">
        <v>276.3741</v>
      </c>
      <c r="Z21" s="119">
        <v>92.186</v>
      </c>
      <c r="AA21" s="119">
        <v>134.1165</v>
      </c>
      <c r="AB21" s="36">
        <v>20.834443002342947</v>
      </c>
      <c r="AC21" s="36">
        <v>26.516085918854415</v>
      </c>
      <c r="AD21" s="36">
        <v>13.670639115809706</v>
      </c>
      <c r="AE21" s="36">
        <v>20.726769102870986</v>
      </c>
    </row>
    <row r="22">
      <c r="A22" s="109"/>
      <c r="B22" s="116" t="s">
        <v>69</v>
      </c>
      <c r="C22" s="128">
        <v>6247.0</v>
      </c>
      <c r="D22" s="113"/>
      <c r="E22" s="128">
        <v>400.0</v>
      </c>
      <c r="F22" s="113"/>
      <c r="G22" s="128">
        <v>229.0</v>
      </c>
      <c r="H22" s="113"/>
      <c r="I22" s="118">
        <v>6876.0</v>
      </c>
      <c r="J22" s="126">
        <v>978622.0</v>
      </c>
      <c r="K22" s="113"/>
      <c r="L22" s="126">
        <v>114766.0</v>
      </c>
      <c r="M22" s="113"/>
      <c r="N22" s="126">
        <v>24116.0</v>
      </c>
      <c r="O22" s="113"/>
      <c r="P22" s="127">
        <v>1117504.0</v>
      </c>
      <c r="Q22" s="126">
        <v>47690.0</v>
      </c>
      <c r="R22" s="113"/>
      <c r="S22" s="126">
        <v>4421.0</v>
      </c>
      <c r="T22" s="113"/>
      <c r="U22" s="126">
        <v>1477.0</v>
      </c>
      <c r="V22" s="113"/>
      <c r="W22" s="122">
        <v>53588.0</v>
      </c>
      <c r="X22" s="119">
        <v>156.6547</v>
      </c>
      <c r="Y22" s="119">
        <v>286.915</v>
      </c>
      <c r="Z22" s="119">
        <v>105.31</v>
      </c>
      <c r="AA22" s="119">
        <v>162.5224</v>
      </c>
      <c r="AB22" s="36">
        <v>20.520486475152023</v>
      </c>
      <c r="AC22" s="36">
        <v>25.959285229586065</v>
      </c>
      <c r="AD22" s="36">
        <v>16.327691266079892</v>
      </c>
      <c r="AE22" s="36">
        <v>20.853623945659475</v>
      </c>
    </row>
    <row r="23">
      <c r="A23" s="129" t="s">
        <v>67</v>
      </c>
      <c r="B23" s="75" t="s">
        <v>67</v>
      </c>
      <c r="C23" s="36">
        <v>1102552.0</v>
      </c>
      <c r="D23" s="113"/>
      <c r="E23" s="36">
        <v>138302.0</v>
      </c>
      <c r="F23" s="113"/>
      <c r="G23" s="36">
        <v>248261.0</v>
      </c>
      <c r="H23" s="113"/>
      <c r="I23" s="125">
        <v>1489115.0</v>
      </c>
      <c r="J23" s="36">
        <v>1.27277585E8</v>
      </c>
      <c r="K23" s="36"/>
      <c r="L23" s="36">
        <v>7.1576385E7</v>
      </c>
      <c r="M23" s="36"/>
      <c r="N23" s="36">
        <v>6.7268889E7</v>
      </c>
      <c r="O23" s="36"/>
      <c r="P23" s="125">
        <v>2.6523583E8</v>
      </c>
      <c r="Q23" s="36">
        <v>4835241.0</v>
      </c>
      <c r="R23" s="36"/>
      <c r="S23" s="36">
        <v>2555279.0</v>
      </c>
      <c r="T23" s="36"/>
      <c r="U23" s="36">
        <v>2116603.0</v>
      </c>
      <c r="V23" s="36"/>
      <c r="W23" s="125">
        <v>9507123.0</v>
      </c>
      <c r="X23" s="35">
        <v>115.4391</v>
      </c>
      <c r="Y23" s="35">
        <v>517.5369</v>
      </c>
      <c r="Z23" s="35">
        <v>267.3874</v>
      </c>
      <c r="AA23" s="35">
        <v>178.1164</v>
      </c>
      <c r="AB23" s="36">
        <v>26.3229040703452</v>
      </c>
      <c r="AC23" s="36">
        <v>28.011181949211807</v>
      </c>
      <c r="AD23" s="36">
        <v>31.78153342880077</v>
      </c>
      <c r="AE23" s="36">
        <v>27.898642943822228</v>
      </c>
    </row>
    <row r="24">
      <c r="A24" s="130"/>
      <c r="B24" s="131" t="s">
        <v>68</v>
      </c>
      <c r="C24" s="132">
        <v>949038.0</v>
      </c>
      <c r="D24" s="113"/>
      <c r="E24" s="132">
        <v>85247.0</v>
      </c>
      <c r="F24" s="113"/>
      <c r="G24" s="132">
        <v>200503.0</v>
      </c>
      <c r="H24" s="113"/>
      <c r="I24" s="133">
        <v>1234788.0</v>
      </c>
      <c r="J24" s="132">
        <v>1.0054305E8</v>
      </c>
      <c r="K24" s="113"/>
      <c r="L24" s="132">
        <v>3.7223822E7</v>
      </c>
      <c r="M24" s="113"/>
      <c r="N24" s="132">
        <v>4.712008E7</v>
      </c>
      <c r="O24" s="113"/>
      <c r="P24" s="133">
        <v>1.84886952E8</v>
      </c>
      <c r="Q24" s="113">
        <v>3828064.0</v>
      </c>
      <c r="R24" s="113"/>
      <c r="S24" s="113">
        <v>1315101.0</v>
      </c>
      <c r="T24" s="113"/>
      <c r="U24" s="113">
        <v>1520671.0</v>
      </c>
      <c r="V24" s="113"/>
      <c r="W24" s="122">
        <v>6663836.0</v>
      </c>
      <c r="X24" s="119">
        <v>105.9421</v>
      </c>
      <c r="Y24" s="119">
        <v>436.6584</v>
      </c>
      <c r="Z24" s="119">
        <v>235.0094</v>
      </c>
      <c r="AA24" s="119">
        <v>149.7317</v>
      </c>
      <c r="AB24" s="36">
        <v>26.26472545913548</v>
      </c>
      <c r="AC24" s="36">
        <v>28.30491498371608</v>
      </c>
      <c r="AD24" s="36">
        <v>30.986373778417555</v>
      </c>
      <c r="AE24" s="36">
        <v>27.74482325195278</v>
      </c>
    </row>
    <row r="25">
      <c r="A25" s="23"/>
      <c r="B25" s="134" t="s">
        <v>69</v>
      </c>
      <c r="C25" s="135">
        <v>153514.0</v>
      </c>
      <c r="D25" s="113"/>
      <c r="E25" s="135">
        <v>53055.0</v>
      </c>
      <c r="F25" s="113"/>
      <c r="G25" s="135">
        <v>47758.0</v>
      </c>
      <c r="H25" s="113"/>
      <c r="I25" s="133">
        <v>254327.0</v>
      </c>
      <c r="J25" s="132">
        <v>2.6734535E7</v>
      </c>
      <c r="K25" s="113"/>
      <c r="L25" s="132">
        <v>3.4352563E7</v>
      </c>
      <c r="M25" s="113"/>
      <c r="N25" s="132">
        <v>2.0148809E7</v>
      </c>
      <c r="O25" s="113"/>
      <c r="P25" s="133">
        <v>8.0348878E7</v>
      </c>
      <c r="Q25" s="113">
        <v>1007177.0</v>
      </c>
      <c r="R25" s="113"/>
      <c r="S25" s="113">
        <v>1240178.0</v>
      </c>
      <c r="T25" s="113"/>
      <c r="U25" s="113">
        <v>595932.0</v>
      </c>
      <c r="V25" s="113"/>
      <c r="W25" s="122">
        <v>2843287.0</v>
      </c>
      <c r="X25" s="119">
        <v>174.1505</v>
      </c>
      <c r="Y25" s="119">
        <v>647.4896</v>
      </c>
      <c r="Z25" s="119">
        <v>403.3205</v>
      </c>
      <c r="AA25" s="119">
        <v>315.9274</v>
      </c>
      <c r="AB25" s="36">
        <v>26.544028507402373</v>
      </c>
      <c r="AC25" s="36">
        <v>27.69970359093614</v>
      </c>
      <c r="AD25" s="36">
        <v>33.81058409348718</v>
      </c>
      <c r="AE25" s="36">
        <v>28.259151468001647</v>
      </c>
    </row>
    <row r="26">
      <c r="A26" s="104"/>
      <c r="D26" s="136"/>
      <c r="F26" s="136"/>
      <c r="G26" s="48"/>
      <c r="H26" s="136"/>
    </row>
    <row r="27">
      <c r="A27" s="104"/>
      <c r="D27" s="136"/>
      <c r="F27" s="136"/>
      <c r="H27" s="136"/>
    </row>
    <row r="28">
      <c r="A28" s="104"/>
      <c r="D28" s="136"/>
      <c r="F28" s="136"/>
      <c r="H28" s="136"/>
    </row>
    <row r="29">
      <c r="A29" s="104"/>
      <c r="D29" s="136"/>
      <c r="F29" s="136"/>
      <c r="H29" s="136"/>
    </row>
    <row r="30">
      <c r="A30" s="104"/>
      <c r="D30" s="136"/>
      <c r="F30" s="136"/>
      <c r="H30" s="136"/>
    </row>
    <row r="31">
      <c r="A31" s="104"/>
      <c r="D31" s="136"/>
      <c r="F31" s="136"/>
      <c r="H31" s="136"/>
    </row>
    <row r="32">
      <c r="A32" s="104"/>
      <c r="D32" s="136"/>
      <c r="F32" s="136"/>
      <c r="H32" s="136"/>
    </row>
    <row r="33">
      <c r="A33" s="104"/>
      <c r="D33" s="136"/>
      <c r="F33" s="136"/>
      <c r="H33" s="136"/>
    </row>
    <row r="34">
      <c r="A34" s="104"/>
      <c r="D34" s="136"/>
      <c r="F34" s="136"/>
      <c r="H34" s="136"/>
    </row>
    <row r="35">
      <c r="A35" s="104"/>
      <c r="D35" s="136"/>
      <c r="F35" s="136"/>
      <c r="H35" s="136"/>
    </row>
    <row r="36">
      <c r="A36" s="104"/>
      <c r="D36" s="136"/>
      <c r="F36" s="136"/>
      <c r="H36" s="136"/>
    </row>
    <row r="37">
      <c r="A37" s="104"/>
      <c r="D37" s="136"/>
      <c r="F37" s="136"/>
      <c r="H37" s="136"/>
    </row>
    <row r="38">
      <c r="A38" s="104"/>
      <c r="D38" s="136"/>
      <c r="F38" s="136"/>
      <c r="H38" s="136"/>
    </row>
    <row r="39">
      <c r="A39" s="104"/>
      <c r="D39" s="136"/>
      <c r="F39" s="136"/>
      <c r="H39" s="136"/>
    </row>
    <row r="40">
      <c r="A40" s="104"/>
      <c r="D40" s="136"/>
      <c r="F40" s="136"/>
      <c r="H40" s="136"/>
    </row>
    <row r="41">
      <c r="A41" s="104"/>
      <c r="D41" s="136"/>
      <c r="F41" s="136"/>
      <c r="H41" s="136"/>
    </row>
    <row r="42">
      <c r="A42" s="104"/>
      <c r="D42" s="136"/>
      <c r="F42" s="136"/>
      <c r="H42" s="136"/>
    </row>
    <row r="43">
      <c r="A43" s="104"/>
      <c r="D43" s="136"/>
      <c r="F43" s="136"/>
      <c r="H43" s="136"/>
    </row>
    <row r="44">
      <c r="A44" s="104"/>
      <c r="D44" s="136"/>
      <c r="F44" s="136"/>
      <c r="H44" s="136"/>
    </row>
    <row r="45">
      <c r="A45" s="104"/>
      <c r="D45" s="136"/>
      <c r="F45" s="136"/>
      <c r="H45" s="136"/>
    </row>
    <row r="46">
      <c r="A46" s="104"/>
      <c r="D46" s="136"/>
      <c r="F46" s="136"/>
      <c r="H46" s="136"/>
    </row>
    <row r="47">
      <c r="A47" s="104"/>
      <c r="D47" s="136"/>
      <c r="F47" s="136"/>
      <c r="H47" s="136"/>
    </row>
    <row r="48">
      <c r="A48" s="104"/>
      <c r="D48" s="136"/>
      <c r="F48" s="136"/>
      <c r="H48" s="136"/>
    </row>
    <row r="49">
      <c r="A49" s="104"/>
      <c r="D49" s="136"/>
      <c r="F49" s="136"/>
      <c r="H49" s="136"/>
    </row>
    <row r="50">
      <c r="A50" s="104"/>
      <c r="D50" s="136"/>
      <c r="F50" s="136"/>
      <c r="H50" s="136"/>
    </row>
    <row r="51">
      <c r="A51" s="104"/>
      <c r="D51" s="136"/>
      <c r="F51" s="136"/>
      <c r="H51" s="136"/>
    </row>
    <row r="52">
      <c r="A52" s="104"/>
      <c r="D52" s="136"/>
      <c r="F52" s="136"/>
      <c r="H52" s="136"/>
    </row>
    <row r="53">
      <c r="A53" s="104"/>
      <c r="D53" s="136"/>
      <c r="F53" s="136"/>
      <c r="H53" s="136"/>
    </row>
    <row r="54">
      <c r="A54" s="104"/>
      <c r="D54" s="136"/>
      <c r="F54" s="136"/>
      <c r="H54" s="136"/>
    </row>
    <row r="55">
      <c r="A55" s="104"/>
      <c r="D55" s="136"/>
      <c r="F55" s="136"/>
      <c r="H55" s="136"/>
    </row>
    <row r="56">
      <c r="A56" s="104"/>
      <c r="D56" s="136"/>
      <c r="F56" s="136"/>
      <c r="H56" s="136"/>
    </row>
    <row r="57">
      <c r="A57" s="104"/>
      <c r="D57" s="136"/>
      <c r="F57" s="136"/>
      <c r="H57" s="136"/>
    </row>
    <row r="58">
      <c r="A58" s="104"/>
      <c r="D58" s="136"/>
      <c r="F58" s="136"/>
      <c r="H58" s="136"/>
    </row>
    <row r="59">
      <c r="A59" s="104"/>
      <c r="D59" s="136"/>
      <c r="F59" s="136"/>
      <c r="H59" s="136"/>
    </row>
    <row r="60">
      <c r="A60" s="104"/>
      <c r="D60" s="136"/>
      <c r="F60" s="136"/>
      <c r="H60" s="136"/>
    </row>
    <row r="61">
      <c r="A61" s="104"/>
      <c r="D61" s="136"/>
      <c r="F61" s="136"/>
      <c r="H61" s="136"/>
    </row>
    <row r="62">
      <c r="A62" s="104"/>
      <c r="D62" s="136"/>
      <c r="F62" s="136"/>
      <c r="H62" s="136"/>
    </row>
    <row r="63">
      <c r="A63" s="104"/>
      <c r="D63" s="136"/>
      <c r="F63" s="136"/>
      <c r="H63" s="136"/>
    </row>
    <row r="64">
      <c r="A64" s="104"/>
      <c r="D64" s="136"/>
      <c r="F64" s="136"/>
      <c r="H64" s="136"/>
    </row>
    <row r="65">
      <c r="A65" s="104"/>
      <c r="D65" s="136"/>
      <c r="F65" s="136"/>
      <c r="H65" s="136"/>
    </row>
    <row r="66">
      <c r="A66" s="104"/>
      <c r="D66" s="136"/>
      <c r="F66" s="136"/>
      <c r="H66" s="136"/>
    </row>
    <row r="67">
      <c r="A67" s="104"/>
      <c r="D67" s="136"/>
      <c r="F67" s="136"/>
      <c r="H67" s="136"/>
    </row>
    <row r="68">
      <c r="A68" s="104"/>
      <c r="D68" s="136"/>
      <c r="F68" s="136"/>
      <c r="H68" s="136"/>
    </row>
    <row r="69">
      <c r="A69" s="104"/>
      <c r="D69" s="136"/>
      <c r="F69" s="136"/>
      <c r="H69" s="136"/>
    </row>
    <row r="70">
      <c r="A70" s="104"/>
      <c r="D70" s="136"/>
      <c r="F70" s="136"/>
      <c r="H70" s="136"/>
    </row>
    <row r="71">
      <c r="A71" s="104"/>
      <c r="D71" s="136"/>
      <c r="F71" s="136"/>
      <c r="H71" s="136"/>
    </row>
    <row r="72">
      <c r="A72" s="104"/>
      <c r="D72" s="136"/>
      <c r="F72" s="136"/>
      <c r="H72" s="136"/>
    </row>
    <row r="73">
      <c r="A73" s="104"/>
      <c r="D73" s="136"/>
      <c r="F73" s="136"/>
      <c r="H73" s="136"/>
    </row>
    <row r="74">
      <c r="A74" s="104"/>
      <c r="D74" s="136"/>
      <c r="F74" s="136"/>
      <c r="H74" s="136"/>
    </row>
    <row r="75">
      <c r="A75" s="104"/>
      <c r="D75" s="136"/>
      <c r="F75" s="136"/>
      <c r="H75" s="136"/>
    </row>
    <row r="76">
      <c r="A76" s="104"/>
      <c r="D76" s="136"/>
      <c r="F76" s="136"/>
      <c r="H76" s="136"/>
    </row>
    <row r="77">
      <c r="A77" s="104"/>
      <c r="D77" s="136"/>
      <c r="F77" s="136"/>
      <c r="H77" s="136"/>
    </row>
    <row r="78">
      <c r="A78" s="104"/>
      <c r="D78" s="136"/>
      <c r="F78" s="136"/>
      <c r="H78" s="136"/>
    </row>
    <row r="79">
      <c r="A79" s="104"/>
      <c r="D79" s="136"/>
      <c r="F79" s="136"/>
      <c r="H79" s="136"/>
    </row>
    <row r="80">
      <c r="A80" s="104"/>
      <c r="D80" s="136"/>
      <c r="F80" s="136"/>
      <c r="H80" s="136"/>
    </row>
    <row r="81">
      <c r="A81" s="104"/>
      <c r="D81" s="136"/>
      <c r="F81" s="136"/>
      <c r="H81" s="136"/>
    </row>
    <row r="82">
      <c r="A82" s="104"/>
      <c r="D82" s="136"/>
      <c r="F82" s="136"/>
      <c r="H82" s="136"/>
    </row>
    <row r="83">
      <c r="A83" s="104"/>
      <c r="D83" s="136"/>
      <c r="F83" s="136"/>
      <c r="H83" s="136"/>
    </row>
    <row r="84">
      <c r="A84" s="104"/>
      <c r="D84" s="136"/>
      <c r="F84" s="136"/>
      <c r="H84" s="136"/>
    </row>
    <row r="85">
      <c r="A85" s="104"/>
      <c r="D85" s="136"/>
      <c r="F85" s="136"/>
      <c r="H85" s="136"/>
    </row>
    <row r="86">
      <c r="A86" s="104"/>
      <c r="D86" s="136"/>
      <c r="F86" s="136"/>
      <c r="H86" s="136"/>
    </row>
    <row r="87">
      <c r="A87" s="104"/>
      <c r="D87" s="136"/>
      <c r="F87" s="136"/>
      <c r="H87" s="136"/>
    </row>
    <row r="88">
      <c r="A88" s="104"/>
      <c r="D88" s="136"/>
      <c r="F88" s="136"/>
      <c r="H88" s="136"/>
    </row>
    <row r="89">
      <c r="A89" s="104"/>
      <c r="D89" s="136"/>
      <c r="F89" s="136"/>
      <c r="H89" s="136"/>
    </row>
    <row r="90">
      <c r="A90" s="104"/>
      <c r="D90" s="136"/>
      <c r="F90" s="136"/>
      <c r="H90" s="136"/>
    </row>
    <row r="91">
      <c r="A91" s="104"/>
      <c r="D91" s="136"/>
      <c r="F91" s="136"/>
      <c r="H91" s="136"/>
    </row>
    <row r="92">
      <c r="A92" s="104"/>
      <c r="D92" s="136"/>
      <c r="F92" s="136"/>
      <c r="H92" s="136"/>
    </row>
    <row r="93">
      <c r="A93" s="104"/>
      <c r="D93" s="136"/>
      <c r="F93" s="136"/>
      <c r="H93" s="136"/>
    </row>
    <row r="94">
      <c r="A94" s="104"/>
      <c r="D94" s="136"/>
      <c r="F94" s="136"/>
      <c r="H94" s="136"/>
    </row>
    <row r="95">
      <c r="A95" s="104"/>
      <c r="D95" s="136"/>
      <c r="F95" s="136"/>
      <c r="H95" s="136"/>
    </row>
    <row r="96">
      <c r="A96" s="104"/>
      <c r="D96" s="136"/>
      <c r="F96" s="136"/>
      <c r="H96" s="136"/>
    </row>
    <row r="97">
      <c r="A97" s="104"/>
      <c r="D97" s="136"/>
      <c r="F97" s="136"/>
      <c r="H97" s="136"/>
    </row>
    <row r="98">
      <c r="A98" s="104"/>
      <c r="D98" s="136"/>
      <c r="F98" s="136"/>
      <c r="H98" s="136"/>
    </row>
    <row r="99">
      <c r="A99" s="104"/>
      <c r="D99" s="136"/>
      <c r="F99" s="136"/>
      <c r="H99" s="136"/>
    </row>
    <row r="100">
      <c r="A100" s="104"/>
      <c r="D100" s="136"/>
      <c r="F100" s="136"/>
      <c r="H100" s="136"/>
    </row>
    <row r="101">
      <c r="A101" s="104"/>
      <c r="D101" s="136"/>
      <c r="F101" s="136"/>
      <c r="H101" s="136"/>
    </row>
    <row r="102">
      <c r="A102" s="104"/>
      <c r="D102" s="136"/>
      <c r="F102" s="136"/>
      <c r="H102" s="136"/>
    </row>
    <row r="103">
      <c r="A103" s="104"/>
      <c r="D103" s="136"/>
      <c r="F103" s="136"/>
      <c r="H103" s="136"/>
    </row>
    <row r="104">
      <c r="A104" s="104"/>
      <c r="D104" s="136"/>
      <c r="F104" s="136"/>
      <c r="H104" s="136"/>
    </row>
    <row r="105">
      <c r="A105" s="104"/>
      <c r="D105" s="136"/>
      <c r="F105" s="136"/>
      <c r="H105" s="136"/>
    </row>
    <row r="106">
      <c r="A106" s="104"/>
      <c r="D106" s="136"/>
      <c r="F106" s="136"/>
      <c r="H106" s="136"/>
    </row>
    <row r="107">
      <c r="A107" s="104"/>
      <c r="D107" s="136"/>
      <c r="F107" s="136"/>
      <c r="H107" s="136"/>
    </row>
    <row r="108">
      <c r="A108" s="104"/>
      <c r="D108" s="136"/>
      <c r="F108" s="136"/>
      <c r="H108" s="136"/>
    </row>
    <row r="109">
      <c r="A109" s="104"/>
      <c r="D109" s="136"/>
      <c r="F109" s="136"/>
      <c r="H109" s="136"/>
    </row>
    <row r="110">
      <c r="A110" s="104"/>
      <c r="D110" s="136"/>
      <c r="F110" s="136"/>
      <c r="H110" s="136"/>
    </row>
    <row r="111">
      <c r="A111" s="104"/>
      <c r="D111" s="136"/>
      <c r="F111" s="136"/>
      <c r="H111" s="136"/>
    </row>
    <row r="112">
      <c r="A112" s="104"/>
      <c r="D112" s="136"/>
      <c r="F112" s="136"/>
      <c r="H112" s="136"/>
    </row>
    <row r="113">
      <c r="A113" s="104"/>
      <c r="D113" s="136"/>
      <c r="F113" s="136"/>
      <c r="H113" s="136"/>
    </row>
    <row r="114">
      <c r="A114" s="104"/>
      <c r="D114" s="136"/>
      <c r="F114" s="136"/>
      <c r="H114" s="136"/>
    </row>
    <row r="115">
      <c r="A115" s="104"/>
      <c r="D115" s="136"/>
      <c r="F115" s="136"/>
      <c r="H115" s="136"/>
    </row>
    <row r="116">
      <c r="A116" s="104"/>
      <c r="D116" s="136"/>
      <c r="F116" s="136"/>
      <c r="H116" s="136"/>
    </row>
    <row r="117">
      <c r="A117" s="104"/>
      <c r="D117" s="136"/>
      <c r="F117" s="136"/>
      <c r="H117" s="136"/>
    </row>
    <row r="118">
      <c r="A118" s="104"/>
      <c r="D118" s="136"/>
      <c r="F118" s="136"/>
      <c r="H118" s="136"/>
    </row>
    <row r="119">
      <c r="A119" s="104"/>
      <c r="D119" s="136"/>
      <c r="F119" s="136"/>
      <c r="H119" s="136"/>
    </row>
    <row r="120">
      <c r="A120" s="104"/>
      <c r="D120" s="136"/>
      <c r="F120" s="136"/>
      <c r="H120" s="136"/>
    </row>
    <row r="121">
      <c r="A121" s="104"/>
      <c r="D121" s="136"/>
      <c r="F121" s="136"/>
      <c r="H121" s="136"/>
    </row>
    <row r="122">
      <c r="A122" s="104"/>
      <c r="D122" s="136"/>
      <c r="F122" s="136"/>
      <c r="H122" s="136"/>
    </row>
    <row r="123">
      <c r="A123" s="104"/>
      <c r="D123" s="136"/>
      <c r="F123" s="136"/>
      <c r="H123" s="136"/>
    </row>
    <row r="124">
      <c r="A124" s="104"/>
      <c r="D124" s="136"/>
      <c r="F124" s="136"/>
      <c r="H124" s="136"/>
    </row>
    <row r="125">
      <c r="A125" s="104"/>
      <c r="D125" s="136"/>
      <c r="F125" s="136"/>
      <c r="H125" s="136"/>
    </row>
    <row r="126">
      <c r="A126" s="104"/>
      <c r="D126" s="136"/>
      <c r="F126" s="136"/>
      <c r="H126" s="136"/>
    </row>
    <row r="127">
      <c r="A127" s="104"/>
      <c r="D127" s="136"/>
      <c r="F127" s="136"/>
      <c r="H127" s="136"/>
    </row>
    <row r="128">
      <c r="A128" s="104"/>
      <c r="D128" s="136"/>
      <c r="F128" s="136"/>
      <c r="H128" s="136"/>
    </row>
    <row r="129">
      <c r="A129" s="104"/>
      <c r="D129" s="136"/>
      <c r="F129" s="136"/>
      <c r="H129" s="136"/>
    </row>
    <row r="130">
      <c r="A130" s="104"/>
      <c r="D130" s="136"/>
      <c r="F130" s="136"/>
      <c r="H130" s="136"/>
    </row>
    <row r="131">
      <c r="A131" s="104"/>
      <c r="D131" s="136"/>
      <c r="F131" s="136"/>
      <c r="H131" s="136"/>
    </row>
    <row r="132">
      <c r="A132" s="104"/>
      <c r="D132" s="136"/>
      <c r="F132" s="136"/>
      <c r="H132" s="136"/>
    </row>
    <row r="133">
      <c r="A133" s="104"/>
      <c r="D133" s="136"/>
      <c r="F133" s="136"/>
      <c r="H133" s="136"/>
    </row>
    <row r="134">
      <c r="A134" s="104"/>
      <c r="D134" s="136"/>
      <c r="F134" s="136"/>
      <c r="H134" s="136"/>
    </row>
    <row r="135">
      <c r="A135" s="104"/>
      <c r="D135" s="136"/>
      <c r="F135" s="136"/>
      <c r="H135" s="136"/>
    </row>
    <row r="136">
      <c r="A136" s="104"/>
      <c r="D136" s="136"/>
      <c r="F136" s="136"/>
      <c r="H136" s="136"/>
    </row>
    <row r="137">
      <c r="A137" s="104"/>
      <c r="D137" s="136"/>
      <c r="F137" s="136"/>
      <c r="H137" s="136"/>
    </row>
    <row r="138">
      <c r="A138" s="104"/>
      <c r="D138" s="136"/>
      <c r="F138" s="136"/>
      <c r="H138" s="136"/>
    </row>
    <row r="139">
      <c r="A139" s="104"/>
      <c r="D139" s="136"/>
      <c r="F139" s="136"/>
      <c r="H139" s="136"/>
    </row>
    <row r="140">
      <c r="A140" s="104"/>
      <c r="D140" s="136"/>
      <c r="F140" s="136"/>
      <c r="H140" s="136"/>
    </row>
    <row r="141">
      <c r="A141" s="104"/>
      <c r="D141" s="136"/>
      <c r="F141" s="136"/>
      <c r="H141" s="136"/>
    </row>
    <row r="142">
      <c r="A142" s="104"/>
      <c r="D142" s="136"/>
      <c r="F142" s="136"/>
      <c r="H142" s="136"/>
    </row>
    <row r="143">
      <c r="A143" s="104"/>
      <c r="D143" s="136"/>
      <c r="F143" s="136"/>
      <c r="H143" s="136"/>
    </row>
    <row r="144">
      <c r="A144" s="104"/>
      <c r="D144" s="136"/>
      <c r="F144" s="136"/>
      <c r="H144" s="136"/>
    </row>
    <row r="145">
      <c r="A145" s="104"/>
      <c r="D145" s="136"/>
      <c r="F145" s="136"/>
      <c r="H145" s="136"/>
    </row>
    <row r="146">
      <c r="A146" s="104"/>
      <c r="D146" s="136"/>
      <c r="F146" s="136"/>
      <c r="H146" s="136"/>
    </row>
    <row r="147">
      <c r="A147" s="104"/>
      <c r="D147" s="136"/>
      <c r="F147" s="136"/>
      <c r="H147" s="136"/>
    </row>
    <row r="148">
      <c r="A148" s="104"/>
      <c r="D148" s="136"/>
      <c r="F148" s="136"/>
      <c r="H148" s="136"/>
    </row>
    <row r="149">
      <c r="A149" s="104"/>
      <c r="D149" s="136"/>
      <c r="F149" s="136"/>
      <c r="H149" s="136"/>
    </row>
    <row r="150">
      <c r="A150" s="104"/>
      <c r="D150" s="136"/>
      <c r="F150" s="136"/>
      <c r="H150" s="136"/>
    </row>
    <row r="151">
      <c r="A151" s="104"/>
      <c r="D151" s="136"/>
      <c r="F151" s="136"/>
      <c r="H151" s="136"/>
    </row>
    <row r="152">
      <c r="A152" s="104"/>
      <c r="D152" s="136"/>
      <c r="F152" s="136"/>
      <c r="H152" s="136"/>
    </row>
    <row r="153">
      <c r="A153" s="104"/>
      <c r="D153" s="136"/>
      <c r="F153" s="136"/>
      <c r="H153" s="136"/>
    </row>
    <row r="154">
      <c r="A154" s="104"/>
      <c r="D154" s="136"/>
      <c r="F154" s="136"/>
      <c r="H154" s="136"/>
    </row>
    <row r="155">
      <c r="A155" s="104"/>
      <c r="D155" s="136"/>
      <c r="F155" s="136"/>
      <c r="H155" s="136"/>
    </row>
    <row r="156">
      <c r="A156" s="104"/>
      <c r="D156" s="136"/>
      <c r="F156" s="136"/>
      <c r="H156" s="136"/>
    </row>
    <row r="157">
      <c r="A157" s="104"/>
      <c r="D157" s="136"/>
      <c r="F157" s="136"/>
      <c r="H157" s="136"/>
    </row>
    <row r="158">
      <c r="A158" s="104"/>
      <c r="D158" s="136"/>
      <c r="F158" s="136"/>
      <c r="H158" s="136"/>
    </row>
    <row r="159">
      <c r="A159" s="104"/>
      <c r="D159" s="136"/>
      <c r="F159" s="136"/>
      <c r="H159" s="136"/>
    </row>
    <row r="160">
      <c r="A160" s="104"/>
      <c r="D160" s="136"/>
      <c r="F160" s="136"/>
      <c r="H160" s="136"/>
    </row>
    <row r="161">
      <c r="A161" s="104"/>
      <c r="D161" s="136"/>
      <c r="F161" s="136"/>
      <c r="H161" s="136"/>
    </row>
    <row r="162">
      <c r="A162" s="104"/>
      <c r="D162" s="136"/>
      <c r="F162" s="136"/>
      <c r="H162" s="136"/>
    </row>
    <row r="163">
      <c r="A163" s="104"/>
      <c r="D163" s="136"/>
      <c r="F163" s="136"/>
      <c r="H163" s="136"/>
    </row>
    <row r="164">
      <c r="A164" s="104"/>
      <c r="D164" s="136"/>
      <c r="F164" s="136"/>
      <c r="H164" s="136"/>
    </row>
    <row r="165">
      <c r="A165" s="104"/>
      <c r="D165" s="136"/>
      <c r="F165" s="136"/>
      <c r="H165" s="136"/>
    </row>
    <row r="166">
      <c r="A166" s="104"/>
      <c r="D166" s="136"/>
      <c r="F166" s="136"/>
      <c r="H166" s="136"/>
    </row>
    <row r="167">
      <c r="A167" s="104"/>
      <c r="D167" s="136"/>
      <c r="F167" s="136"/>
      <c r="H167" s="136"/>
    </row>
    <row r="168">
      <c r="A168" s="104"/>
      <c r="D168" s="136"/>
      <c r="F168" s="136"/>
      <c r="H168" s="136"/>
    </row>
    <row r="169">
      <c r="A169" s="104"/>
      <c r="D169" s="136"/>
      <c r="F169" s="136"/>
      <c r="H169" s="136"/>
    </row>
    <row r="170">
      <c r="A170" s="104"/>
      <c r="D170" s="136"/>
      <c r="F170" s="136"/>
      <c r="H170" s="136"/>
    </row>
    <row r="171">
      <c r="A171" s="104"/>
      <c r="D171" s="136"/>
      <c r="F171" s="136"/>
      <c r="H171" s="136"/>
    </row>
    <row r="172">
      <c r="A172" s="104"/>
      <c r="D172" s="136"/>
      <c r="F172" s="136"/>
      <c r="H172" s="136"/>
    </row>
    <row r="173">
      <c r="A173" s="104"/>
      <c r="D173" s="136"/>
      <c r="F173" s="136"/>
      <c r="H173" s="136"/>
    </row>
    <row r="174">
      <c r="A174" s="104"/>
      <c r="D174" s="136"/>
      <c r="F174" s="136"/>
      <c r="H174" s="136"/>
    </row>
    <row r="175">
      <c r="A175" s="104"/>
      <c r="D175" s="136"/>
      <c r="F175" s="136"/>
      <c r="H175" s="136"/>
    </row>
    <row r="176">
      <c r="A176" s="104"/>
      <c r="D176" s="136"/>
      <c r="F176" s="136"/>
      <c r="H176" s="136"/>
    </row>
    <row r="177">
      <c r="A177" s="104"/>
      <c r="D177" s="136"/>
      <c r="F177" s="136"/>
      <c r="H177" s="136"/>
    </row>
    <row r="178">
      <c r="A178" s="104"/>
      <c r="D178" s="136"/>
      <c r="F178" s="136"/>
      <c r="H178" s="136"/>
    </row>
    <row r="179">
      <c r="A179" s="104"/>
      <c r="D179" s="136"/>
      <c r="F179" s="136"/>
      <c r="H179" s="136"/>
    </row>
    <row r="180">
      <c r="A180" s="104"/>
      <c r="D180" s="136"/>
      <c r="F180" s="136"/>
      <c r="H180" s="136"/>
    </row>
    <row r="181">
      <c r="A181" s="104"/>
      <c r="D181" s="136"/>
      <c r="F181" s="136"/>
      <c r="H181" s="136"/>
    </row>
    <row r="182">
      <c r="A182" s="104"/>
      <c r="D182" s="136"/>
      <c r="F182" s="136"/>
      <c r="H182" s="136"/>
    </row>
    <row r="183">
      <c r="A183" s="104"/>
      <c r="D183" s="136"/>
      <c r="F183" s="136"/>
      <c r="H183" s="136"/>
    </row>
    <row r="184">
      <c r="A184" s="104"/>
      <c r="D184" s="136"/>
      <c r="F184" s="136"/>
      <c r="H184" s="136"/>
    </row>
    <row r="185">
      <c r="A185" s="104"/>
      <c r="D185" s="136"/>
      <c r="F185" s="136"/>
      <c r="H185" s="136"/>
    </row>
    <row r="186">
      <c r="A186" s="104"/>
      <c r="D186" s="136"/>
      <c r="F186" s="136"/>
      <c r="H186" s="136"/>
    </row>
    <row r="187">
      <c r="A187" s="104"/>
      <c r="D187" s="136"/>
      <c r="F187" s="136"/>
      <c r="H187" s="136"/>
    </row>
    <row r="188">
      <c r="A188" s="104"/>
      <c r="D188" s="136"/>
      <c r="F188" s="136"/>
      <c r="H188" s="136"/>
    </row>
    <row r="189">
      <c r="A189" s="104"/>
      <c r="D189" s="136"/>
      <c r="F189" s="136"/>
      <c r="H189" s="136"/>
    </row>
    <row r="190">
      <c r="A190" s="104"/>
      <c r="D190" s="136"/>
      <c r="F190" s="136"/>
      <c r="H190" s="136"/>
    </row>
    <row r="191">
      <c r="A191" s="104"/>
      <c r="D191" s="136"/>
      <c r="F191" s="136"/>
      <c r="H191" s="136"/>
    </row>
    <row r="192">
      <c r="A192" s="104"/>
      <c r="D192" s="136"/>
      <c r="F192" s="136"/>
      <c r="H192" s="136"/>
    </row>
    <row r="193">
      <c r="A193" s="104"/>
      <c r="D193" s="136"/>
      <c r="F193" s="136"/>
      <c r="H193" s="136"/>
    </row>
    <row r="194">
      <c r="A194" s="104"/>
      <c r="D194" s="136"/>
      <c r="F194" s="136"/>
      <c r="H194" s="136"/>
    </row>
    <row r="195">
      <c r="A195" s="104"/>
      <c r="D195" s="136"/>
      <c r="F195" s="136"/>
      <c r="H195" s="136"/>
    </row>
    <row r="196">
      <c r="A196" s="104"/>
      <c r="D196" s="136"/>
      <c r="F196" s="136"/>
      <c r="H196" s="136"/>
    </row>
    <row r="197">
      <c r="A197" s="104"/>
      <c r="D197" s="136"/>
      <c r="F197" s="136"/>
      <c r="H197" s="136"/>
    </row>
    <row r="198">
      <c r="A198" s="104"/>
      <c r="D198" s="136"/>
      <c r="F198" s="136"/>
      <c r="H198" s="136"/>
    </row>
    <row r="199">
      <c r="A199" s="104"/>
      <c r="D199" s="136"/>
      <c r="F199" s="136"/>
      <c r="H199" s="136"/>
    </row>
    <row r="200">
      <c r="A200" s="104"/>
      <c r="D200" s="136"/>
      <c r="F200" s="136"/>
      <c r="H200" s="136"/>
    </row>
    <row r="201">
      <c r="A201" s="104"/>
      <c r="D201" s="136"/>
      <c r="F201" s="136"/>
      <c r="H201" s="136"/>
    </row>
    <row r="202">
      <c r="A202" s="104"/>
      <c r="D202" s="136"/>
      <c r="F202" s="136"/>
      <c r="H202" s="136"/>
    </row>
    <row r="203">
      <c r="A203" s="104"/>
      <c r="D203" s="136"/>
      <c r="F203" s="136"/>
      <c r="H203" s="136"/>
    </row>
    <row r="204">
      <c r="A204" s="104"/>
      <c r="D204" s="136"/>
      <c r="F204" s="136"/>
      <c r="H204" s="136"/>
    </row>
    <row r="205">
      <c r="A205" s="104"/>
      <c r="D205" s="136"/>
      <c r="F205" s="136"/>
      <c r="H205" s="136"/>
    </row>
    <row r="206">
      <c r="A206" s="104"/>
      <c r="D206" s="136"/>
      <c r="F206" s="136"/>
      <c r="H206" s="136"/>
    </row>
    <row r="207">
      <c r="A207" s="104"/>
      <c r="D207" s="136"/>
      <c r="F207" s="136"/>
      <c r="H207" s="136"/>
    </row>
    <row r="208">
      <c r="A208" s="104"/>
      <c r="D208" s="136"/>
      <c r="F208" s="136"/>
      <c r="H208" s="136"/>
    </row>
    <row r="209">
      <c r="A209" s="104"/>
      <c r="D209" s="136"/>
      <c r="F209" s="136"/>
      <c r="H209" s="136"/>
    </row>
    <row r="210">
      <c r="A210" s="104"/>
      <c r="D210" s="136"/>
      <c r="F210" s="136"/>
      <c r="H210" s="136"/>
    </row>
    <row r="211">
      <c r="A211" s="104"/>
      <c r="D211" s="136"/>
      <c r="F211" s="136"/>
      <c r="H211" s="136"/>
    </row>
    <row r="212">
      <c r="A212" s="104"/>
      <c r="D212" s="136"/>
      <c r="F212" s="136"/>
      <c r="H212" s="136"/>
    </row>
    <row r="213">
      <c r="A213" s="104"/>
      <c r="D213" s="136"/>
      <c r="F213" s="136"/>
      <c r="H213" s="136"/>
    </row>
    <row r="214">
      <c r="A214" s="104"/>
      <c r="D214" s="136"/>
      <c r="F214" s="136"/>
      <c r="H214" s="136"/>
    </row>
    <row r="215">
      <c r="A215" s="104"/>
      <c r="D215" s="136"/>
      <c r="F215" s="136"/>
      <c r="H215" s="136"/>
    </row>
    <row r="216">
      <c r="A216" s="104"/>
      <c r="D216" s="136"/>
      <c r="F216" s="136"/>
      <c r="H216" s="136"/>
    </row>
    <row r="217">
      <c r="A217" s="104"/>
      <c r="D217" s="136"/>
      <c r="F217" s="136"/>
      <c r="H217" s="136"/>
    </row>
    <row r="218">
      <c r="A218" s="104"/>
      <c r="D218" s="136"/>
      <c r="F218" s="136"/>
      <c r="H218" s="136"/>
    </row>
    <row r="219">
      <c r="A219" s="104"/>
      <c r="D219" s="136"/>
      <c r="F219" s="136"/>
      <c r="H219" s="136"/>
    </row>
    <row r="220">
      <c r="A220" s="104"/>
      <c r="D220" s="136"/>
      <c r="F220" s="136"/>
      <c r="H220" s="136"/>
    </row>
    <row r="221">
      <c r="A221" s="104"/>
      <c r="D221" s="136"/>
      <c r="F221" s="136"/>
      <c r="H221" s="136"/>
    </row>
    <row r="222">
      <c r="A222" s="104"/>
      <c r="D222" s="136"/>
      <c r="F222" s="136"/>
      <c r="H222" s="136"/>
    </row>
    <row r="223">
      <c r="A223" s="104"/>
      <c r="D223" s="136"/>
      <c r="F223" s="136"/>
      <c r="H223" s="136"/>
    </row>
    <row r="224">
      <c r="A224" s="104"/>
      <c r="D224" s="136"/>
      <c r="F224" s="136"/>
      <c r="H224" s="136"/>
    </row>
    <row r="225">
      <c r="A225" s="104"/>
      <c r="D225" s="136"/>
      <c r="F225" s="136"/>
      <c r="H225" s="136"/>
    </row>
    <row r="226">
      <c r="A226" s="104"/>
      <c r="D226" s="136"/>
      <c r="F226" s="136"/>
      <c r="H226" s="136"/>
    </row>
    <row r="227">
      <c r="A227" s="104"/>
      <c r="D227" s="136"/>
      <c r="F227" s="136"/>
      <c r="H227" s="136"/>
    </row>
    <row r="228">
      <c r="A228" s="104"/>
      <c r="D228" s="136"/>
      <c r="F228" s="136"/>
      <c r="H228" s="136"/>
    </row>
    <row r="229">
      <c r="A229" s="104"/>
      <c r="D229" s="136"/>
      <c r="F229" s="136"/>
      <c r="H229" s="136"/>
    </row>
    <row r="230">
      <c r="A230" s="104"/>
      <c r="D230" s="136"/>
      <c r="F230" s="136"/>
      <c r="H230" s="136"/>
    </row>
    <row r="231">
      <c r="A231" s="104"/>
      <c r="D231" s="136"/>
      <c r="F231" s="136"/>
      <c r="H231" s="136"/>
    </row>
    <row r="232">
      <c r="A232" s="104"/>
      <c r="D232" s="136"/>
      <c r="F232" s="136"/>
      <c r="H232" s="136"/>
    </row>
    <row r="233">
      <c r="A233" s="104"/>
      <c r="D233" s="136"/>
      <c r="F233" s="136"/>
      <c r="H233" s="136"/>
    </row>
    <row r="234">
      <c r="A234" s="104"/>
      <c r="D234" s="136"/>
      <c r="F234" s="136"/>
      <c r="H234" s="136"/>
    </row>
    <row r="235">
      <c r="A235" s="104"/>
      <c r="D235" s="136"/>
      <c r="F235" s="136"/>
      <c r="H235" s="136"/>
    </row>
    <row r="236">
      <c r="A236" s="104"/>
      <c r="D236" s="136"/>
      <c r="F236" s="136"/>
      <c r="H236" s="136"/>
    </row>
    <row r="237">
      <c r="A237" s="104"/>
      <c r="D237" s="136"/>
      <c r="F237" s="136"/>
      <c r="H237" s="136"/>
    </row>
    <row r="238">
      <c r="A238" s="104"/>
      <c r="D238" s="136"/>
      <c r="F238" s="136"/>
      <c r="H238" s="136"/>
    </row>
    <row r="239">
      <c r="A239" s="104"/>
      <c r="D239" s="136"/>
      <c r="F239" s="136"/>
      <c r="H239" s="136"/>
    </row>
    <row r="240">
      <c r="A240" s="104"/>
      <c r="D240" s="136"/>
      <c r="F240" s="136"/>
      <c r="H240" s="136"/>
    </row>
    <row r="241">
      <c r="A241" s="104"/>
      <c r="D241" s="136"/>
      <c r="F241" s="136"/>
      <c r="H241" s="136"/>
    </row>
    <row r="242">
      <c r="A242" s="104"/>
      <c r="D242" s="136"/>
      <c r="F242" s="136"/>
      <c r="H242" s="136"/>
    </row>
    <row r="243">
      <c r="A243" s="104"/>
      <c r="D243" s="136"/>
      <c r="F243" s="136"/>
      <c r="H243" s="136"/>
    </row>
    <row r="244">
      <c r="A244" s="104"/>
      <c r="D244" s="136"/>
      <c r="F244" s="136"/>
      <c r="H244" s="136"/>
    </row>
    <row r="245">
      <c r="A245" s="104"/>
      <c r="D245" s="136"/>
      <c r="F245" s="136"/>
      <c r="H245" s="136"/>
    </row>
    <row r="246">
      <c r="A246" s="104"/>
      <c r="D246" s="136"/>
      <c r="F246" s="136"/>
      <c r="H246" s="136"/>
    </row>
    <row r="247">
      <c r="A247" s="104"/>
      <c r="D247" s="136"/>
      <c r="F247" s="136"/>
      <c r="H247" s="136"/>
    </row>
    <row r="248">
      <c r="A248" s="104"/>
      <c r="D248" s="136"/>
      <c r="F248" s="136"/>
      <c r="H248" s="136"/>
    </row>
    <row r="249">
      <c r="A249" s="104"/>
      <c r="D249" s="136"/>
      <c r="F249" s="136"/>
      <c r="H249" s="136"/>
    </row>
    <row r="250">
      <c r="A250" s="104"/>
      <c r="D250" s="136"/>
      <c r="F250" s="136"/>
      <c r="H250" s="136"/>
    </row>
    <row r="251">
      <c r="A251" s="104"/>
      <c r="D251" s="136"/>
      <c r="F251" s="136"/>
      <c r="H251" s="136"/>
    </row>
    <row r="252">
      <c r="A252" s="104"/>
      <c r="D252" s="136"/>
      <c r="F252" s="136"/>
      <c r="H252" s="136"/>
    </row>
    <row r="253">
      <c r="A253" s="104"/>
      <c r="D253" s="136"/>
      <c r="F253" s="136"/>
      <c r="H253" s="136"/>
    </row>
    <row r="254">
      <c r="A254" s="104"/>
      <c r="D254" s="136"/>
      <c r="F254" s="136"/>
      <c r="H254" s="136"/>
    </row>
    <row r="255">
      <c r="A255" s="104"/>
      <c r="D255" s="136"/>
      <c r="F255" s="136"/>
      <c r="H255" s="136"/>
    </row>
    <row r="256">
      <c r="A256" s="104"/>
      <c r="D256" s="136"/>
      <c r="F256" s="136"/>
      <c r="H256" s="136"/>
    </row>
    <row r="257">
      <c r="A257" s="104"/>
      <c r="D257" s="136"/>
      <c r="F257" s="136"/>
      <c r="H257" s="136"/>
    </row>
    <row r="258">
      <c r="A258" s="104"/>
      <c r="D258" s="136"/>
      <c r="F258" s="136"/>
      <c r="H258" s="136"/>
    </row>
    <row r="259">
      <c r="A259" s="104"/>
      <c r="D259" s="136"/>
      <c r="F259" s="136"/>
      <c r="H259" s="136"/>
    </row>
    <row r="260">
      <c r="A260" s="104"/>
      <c r="D260" s="136"/>
      <c r="F260" s="136"/>
      <c r="H260" s="136"/>
    </row>
    <row r="261">
      <c r="A261" s="104"/>
      <c r="D261" s="136"/>
      <c r="F261" s="136"/>
      <c r="H261" s="136"/>
    </row>
    <row r="262">
      <c r="A262" s="104"/>
      <c r="D262" s="136"/>
      <c r="F262" s="136"/>
      <c r="H262" s="136"/>
    </row>
    <row r="263">
      <c r="A263" s="104"/>
      <c r="D263" s="136"/>
      <c r="F263" s="136"/>
      <c r="H263" s="136"/>
    </row>
    <row r="264">
      <c r="A264" s="104"/>
      <c r="D264" s="136"/>
      <c r="F264" s="136"/>
      <c r="H264" s="136"/>
    </row>
    <row r="265">
      <c r="A265" s="104"/>
      <c r="D265" s="136"/>
      <c r="F265" s="136"/>
      <c r="H265" s="136"/>
    </row>
    <row r="266">
      <c r="A266" s="104"/>
      <c r="D266" s="136"/>
      <c r="F266" s="136"/>
      <c r="H266" s="136"/>
    </row>
    <row r="267">
      <c r="A267" s="104"/>
      <c r="D267" s="136"/>
      <c r="F267" s="136"/>
      <c r="H267" s="136"/>
    </row>
    <row r="268">
      <c r="A268" s="104"/>
      <c r="D268" s="136"/>
      <c r="F268" s="136"/>
      <c r="H268" s="136"/>
    </row>
    <row r="269">
      <c r="A269" s="104"/>
      <c r="D269" s="136"/>
      <c r="F269" s="136"/>
      <c r="H269" s="136"/>
    </row>
    <row r="270">
      <c r="A270" s="104"/>
      <c r="D270" s="136"/>
      <c r="F270" s="136"/>
      <c r="H270" s="136"/>
    </row>
    <row r="271">
      <c r="A271" s="104"/>
      <c r="D271" s="136"/>
      <c r="F271" s="136"/>
      <c r="H271" s="136"/>
    </row>
    <row r="272">
      <c r="A272" s="104"/>
      <c r="D272" s="136"/>
      <c r="F272" s="136"/>
      <c r="H272" s="136"/>
    </row>
    <row r="273">
      <c r="A273" s="104"/>
      <c r="D273" s="136"/>
      <c r="F273" s="136"/>
      <c r="H273" s="136"/>
    </row>
    <row r="274">
      <c r="A274" s="104"/>
      <c r="D274" s="136"/>
      <c r="F274" s="136"/>
      <c r="H274" s="136"/>
    </row>
    <row r="275">
      <c r="A275" s="104"/>
      <c r="D275" s="136"/>
      <c r="F275" s="136"/>
      <c r="H275" s="136"/>
    </row>
    <row r="276">
      <c r="A276" s="104"/>
      <c r="D276" s="136"/>
      <c r="F276" s="136"/>
      <c r="H276" s="136"/>
    </row>
    <row r="277">
      <c r="A277" s="104"/>
      <c r="D277" s="136"/>
      <c r="F277" s="136"/>
      <c r="H277" s="136"/>
    </row>
    <row r="278">
      <c r="A278" s="104"/>
      <c r="D278" s="136"/>
      <c r="F278" s="136"/>
      <c r="H278" s="136"/>
    </row>
    <row r="279">
      <c r="A279" s="104"/>
      <c r="D279" s="136"/>
      <c r="F279" s="136"/>
      <c r="H279" s="136"/>
    </row>
    <row r="280">
      <c r="A280" s="104"/>
      <c r="D280" s="136"/>
      <c r="F280" s="136"/>
      <c r="H280" s="136"/>
    </row>
    <row r="281">
      <c r="A281" s="104"/>
      <c r="D281" s="136"/>
      <c r="F281" s="136"/>
      <c r="H281" s="136"/>
    </row>
    <row r="282">
      <c r="A282" s="104"/>
      <c r="D282" s="136"/>
      <c r="F282" s="136"/>
      <c r="H282" s="136"/>
    </row>
    <row r="283">
      <c r="A283" s="104"/>
      <c r="D283" s="136"/>
      <c r="F283" s="136"/>
      <c r="H283" s="136"/>
    </row>
    <row r="284">
      <c r="A284" s="104"/>
      <c r="D284" s="136"/>
      <c r="F284" s="136"/>
      <c r="H284" s="136"/>
    </row>
    <row r="285">
      <c r="A285" s="104"/>
      <c r="D285" s="136"/>
      <c r="F285" s="136"/>
      <c r="H285" s="136"/>
    </row>
    <row r="286">
      <c r="A286" s="104"/>
      <c r="D286" s="136"/>
      <c r="F286" s="136"/>
      <c r="H286" s="136"/>
    </row>
    <row r="287">
      <c r="A287" s="104"/>
      <c r="D287" s="136"/>
      <c r="F287" s="136"/>
      <c r="H287" s="136"/>
    </row>
    <row r="288">
      <c r="A288" s="104"/>
      <c r="D288" s="136"/>
      <c r="F288" s="136"/>
      <c r="H288" s="136"/>
    </row>
    <row r="289">
      <c r="A289" s="104"/>
      <c r="D289" s="136"/>
      <c r="F289" s="136"/>
      <c r="H289" s="136"/>
    </row>
    <row r="290">
      <c r="A290" s="104"/>
      <c r="D290" s="136"/>
      <c r="F290" s="136"/>
      <c r="H290" s="136"/>
    </row>
    <row r="291">
      <c r="A291" s="104"/>
      <c r="D291" s="136"/>
      <c r="F291" s="136"/>
      <c r="H291" s="136"/>
    </row>
    <row r="292">
      <c r="A292" s="104"/>
      <c r="D292" s="136"/>
      <c r="F292" s="136"/>
      <c r="H292" s="136"/>
    </row>
    <row r="293">
      <c r="A293" s="104"/>
      <c r="D293" s="136"/>
      <c r="F293" s="136"/>
      <c r="H293" s="136"/>
    </row>
    <row r="294">
      <c r="A294" s="104"/>
      <c r="D294" s="136"/>
      <c r="F294" s="136"/>
      <c r="H294" s="136"/>
    </row>
    <row r="295">
      <c r="A295" s="104"/>
      <c r="D295" s="136"/>
      <c r="F295" s="136"/>
      <c r="H295" s="136"/>
    </row>
    <row r="296">
      <c r="A296" s="104"/>
      <c r="D296" s="136"/>
      <c r="F296" s="136"/>
      <c r="H296" s="136"/>
    </row>
    <row r="297">
      <c r="A297" s="104"/>
      <c r="D297" s="136"/>
      <c r="F297" s="136"/>
      <c r="H297" s="136"/>
    </row>
    <row r="298">
      <c r="A298" s="104"/>
      <c r="D298" s="136"/>
      <c r="F298" s="136"/>
      <c r="H298" s="136"/>
    </row>
    <row r="299">
      <c r="A299" s="104"/>
      <c r="D299" s="136"/>
      <c r="F299" s="136"/>
      <c r="H299" s="136"/>
    </row>
    <row r="300">
      <c r="A300" s="104"/>
      <c r="D300" s="136"/>
      <c r="F300" s="136"/>
      <c r="H300" s="136"/>
    </row>
    <row r="301">
      <c r="A301" s="104"/>
      <c r="D301" s="136"/>
      <c r="F301" s="136"/>
      <c r="H301" s="136"/>
    </row>
    <row r="302">
      <c r="A302" s="104"/>
      <c r="D302" s="136"/>
      <c r="F302" s="136"/>
      <c r="H302" s="136"/>
    </row>
    <row r="303">
      <c r="A303" s="104"/>
      <c r="D303" s="136"/>
      <c r="F303" s="136"/>
      <c r="H303" s="136"/>
    </row>
    <row r="304">
      <c r="A304" s="104"/>
      <c r="D304" s="136"/>
      <c r="F304" s="136"/>
      <c r="H304" s="136"/>
    </row>
    <row r="305">
      <c r="A305" s="104"/>
      <c r="D305" s="136"/>
      <c r="F305" s="136"/>
      <c r="H305" s="136"/>
    </row>
    <row r="306">
      <c r="A306" s="104"/>
      <c r="D306" s="136"/>
      <c r="F306" s="136"/>
      <c r="H306" s="136"/>
    </row>
    <row r="307">
      <c r="A307" s="104"/>
      <c r="D307" s="136"/>
      <c r="F307" s="136"/>
      <c r="H307" s="136"/>
    </row>
    <row r="308">
      <c r="A308" s="104"/>
      <c r="D308" s="136"/>
      <c r="F308" s="136"/>
      <c r="H308" s="136"/>
    </row>
    <row r="309">
      <c r="A309" s="104"/>
      <c r="D309" s="136"/>
      <c r="F309" s="136"/>
      <c r="H309" s="136"/>
    </row>
    <row r="310">
      <c r="A310" s="104"/>
      <c r="D310" s="136"/>
      <c r="F310" s="136"/>
      <c r="H310" s="136"/>
    </row>
    <row r="311">
      <c r="A311" s="104"/>
      <c r="D311" s="136"/>
      <c r="F311" s="136"/>
      <c r="H311" s="136"/>
    </row>
    <row r="312">
      <c r="A312" s="104"/>
      <c r="D312" s="136"/>
      <c r="F312" s="136"/>
      <c r="H312" s="136"/>
    </row>
    <row r="313">
      <c r="A313" s="104"/>
      <c r="D313" s="136"/>
      <c r="F313" s="136"/>
      <c r="H313" s="136"/>
    </row>
    <row r="314">
      <c r="A314" s="104"/>
      <c r="D314" s="136"/>
      <c r="F314" s="136"/>
      <c r="H314" s="136"/>
    </row>
    <row r="315">
      <c r="A315" s="104"/>
      <c r="D315" s="136"/>
      <c r="F315" s="136"/>
      <c r="H315" s="136"/>
    </row>
    <row r="316">
      <c r="A316" s="104"/>
      <c r="D316" s="136"/>
      <c r="F316" s="136"/>
      <c r="H316" s="136"/>
    </row>
    <row r="317">
      <c r="A317" s="104"/>
      <c r="D317" s="136"/>
      <c r="F317" s="136"/>
      <c r="H317" s="136"/>
    </row>
    <row r="318">
      <c r="A318" s="104"/>
      <c r="D318" s="136"/>
      <c r="F318" s="136"/>
      <c r="H318" s="136"/>
    </row>
    <row r="319">
      <c r="A319" s="104"/>
      <c r="D319" s="136"/>
      <c r="F319" s="136"/>
      <c r="H319" s="136"/>
    </row>
    <row r="320">
      <c r="A320" s="104"/>
      <c r="D320" s="136"/>
      <c r="F320" s="136"/>
      <c r="H320" s="136"/>
    </row>
    <row r="321">
      <c r="A321" s="104"/>
      <c r="D321" s="136"/>
      <c r="F321" s="136"/>
      <c r="H321" s="136"/>
    </row>
    <row r="322">
      <c r="A322" s="104"/>
      <c r="D322" s="136"/>
      <c r="F322" s="136"/>
      <c r="H322" s="136"/>
    </row>
    <row r="323">
      <c r="A323" s="104"/>
      <c r="D323" s="136"/>
      <c r="F323" s="136"/>
      <c r="H323" s="136"/>
    </row>
    <row r="324">
      <c r="A324" s="104"/>
      <c r="D324" s="136"/>
      <c r="F324" s="136"/>
      <c r="H324" s="136"/>
    </row>
    <row r="325">
      <c r="A325" s="104"/>
      <c r="D325" s="136"/>
      <c r="F325" s="136"/>
      <c r="H325" s="136"/>
    </row>
    <row r="326">
      <c r="A326" s="104"/>
      <c r="D326" s="136"/>
      <c r="F326" s="136"/>
      <c r="H326" s="136"/>
    </row>
    <row r="327">
      <c r="A327" s="104"/>
      <c r="D327" s="136"/>
      <c r="F327" s="136"/>
      <c r="H327" s="136"/>
    </row>
    <row r="328">
      <c r="A328" s="104"/>
      <c r="D328" s="136"/>
      <c r="F328" s="136"/>
      <c r="H328" s="136"/>
    </row>
    <row r="329">
      <c r="A329" s="104"/>
      <c r="D329" s="136"/>
      <c r="F329" s="136"/>
      <c r="H329" s="136"/>
    </row>
    <row r="330">
      <c r="A330" s="104"/>
      <c r="D330" s="136"/>
      <c r="F330" s="136"/>
      <c r="H330" s="136"/>
    </row>
    <row r="331">
      <c r="A331" s="104"/>
      <c r="D331" s="136"/>
      <c r="F331" s="136"/>
      <c r="H331" s="136"/>
    </row>
    <row r="332">
      <c r="A332" s="104"/>
      <c r="D332" s="136"/>
      <c r="F332" s="136"/>
      <c r="H332" s="136"/>
    </row>
    <row r="333">
      <c r="A333" s="104"/>
      <c r="D333" s="136"/>
      <c r="F333" s="136"/>
      <c r="H333" s="136"/>
    </row>
    <row r="334">
      <c r="A334" s="104"/>
      <c r="D334" s="136"/>
      <c r="F334" s="136"/>
      <c r="H334" s="136"/>
    </row>
    <row r="335">
      <c r="A335" s="104"/>
      <c r="D335" s="136"/>
      <c r="F335" s="136"/>
      <c r="H335" s="136"/>
    </row>
    <row r="336">
      <c r="A336" s="104"/>
      <c r="D336" s="136"/>
      <c r="F336" s="136"/>
      <c r="H336" s="136"/>
    </row>
    <row r="337">
      <c r="A337" s="104"/>
      <c r="D337" s="136"/>
      <c r="F337" s="136"/>
      <c r="H337" s="136"/>
    </row>
    <row r="338">
      <c r="A338" s="104"/>
      <c r="D338" s="136"/>
      <c r="F338" s="136"/>
      <c r="H338" s="136"/>
    </row>
    <row r="339">
      <c r="A339" s="104"/>
      <c r="D339" s="136"/>
      <c r="F339" s="136"/>
      <c r="H339" s="136"/>
    </row>
    <row r="340">
      <c r="A340" s="104"/>
      <c r="D340" s="136"/>
      <c r="F340" s="136"/>
      <c r="H340" s="136"/>
    </row>
    <row r="341">
      <c r="A341" s="104"/>
      <c r="D341" s="136"/>
      <c r="F341" s="136"/>
      <c r="H341" s="136"/>
    </row>
    <row r="342">
      <c r="A342" s="104"/>
      <c r="D342" s="136"/>
      <c r="F342" s="136"/>
      <c r="H342" s="136"/>
    </row>
    <row r="343">
      <c r="A343" s="104"/>
      <c r="D343" s="136"/>
      <c r="F343" s="136"/>
      <c r="H343" s="136"/>
    </row>
    <row r="344">
      <c r="A344" s="104"/>
      <c r="D344" s="136"/>
      <c r="F344" s="136"/>
      <c r="H344" s="136"/>
    </row>
    <row r="345">
      <c r="A345" s="104"/>
      <c r="D345" s="136"/>
      <c r="F345" s="136"/>
      <c r="H345" s="136"/>
    </row>
    <row r="346">
      <c r="A346" s="104"/>
      <c r="D346" s="136"/>
      <c r="F346" s="136"/>
      <c r="H346" s="136"/>
    </row>
    <row r="347">
      <c r="A347" s="104"/>
      <c r="D347" s="136"/>
      <c r="F347" s="136"/>
      <c r="H347" s="136"/>
    </row>
    <row r="348">
      <c r="A348" s="104"/>
      <c r="D348" s="136"/>
      <c r="F348" s="136"/>
      <c r="H348" s="136"/>
    </row>
    <row r="349">
      <c r="A349" s="104"/>
      <c r="D349" s="136"/>
      <c r="F349" s="136"/>
      <c r="H349" s="136"/>
    </row>
    <row r="350">
      <c r="A350" s="104"/>
      <c r="D350" s="136"/>
      <c r="F350" s="136"/>
      <c r="H350" s="136"/>
    </row>
    <row r="351">
      <c r="A351" s="104"/>
      <c r="D351" s="136"/>
      <c r="F351" s="136"/>
      <c r="H351" s="136"/>
    </row>
    <row r="352">
      <c r="A352" s="104"/>
      <c r="D352" s="136"/>
      <c r="F352" s="136"/>
      <c r="H352" s="136"/>
    </row>
    <row r="353">
      <c r="A353" s="104"/>
      <c r="D353" s="136"/>
      <c r="F353" s="136"/>
      <c r="H353" s="136"/>
    </row>
    <row r="354">
      <c r="A354" s="104"/>
      <c r="D354" s="136"/>
      <c r="F354" s="136"/>
      <c r="H354" s="136"/>
    </row>
    <row r="355">
      <c r="A355" s="104"/>
      <c r="D355" s="136"/>
      <c r="F355" s="136"/>
      <c r="H355" s="136"/>
    </row>
    <row r="356">
      <c r="A356" s="104"/>
      <c r="D356" s="136"/>
      <c r="F356" s="136"/>
      <c r="H356" s="136"/>
    </row>
    <row r="357">
      <c r="A357" s="104"/>
      <c r="D357" s="136"/>
      <c r="F357" s="136"/>
      <c r="H357" s="136"/>
    </row>
    <row r="358">
      <c r="A358" s="104"/>
      <c r="D358" s="136"/>
      <c r="F358" s="136"/>
      <c r="H358" s="136"/>
    </row>
    <row r="359">
      <c r="A359" s="104"/>
      <c r="D359" s="136"/>
      <c r="F359" s="136"/>
      <c r="H359" s="136"/>
    </row>
    <row r="360">
      <c r="A360" s="104"/>
      <c r="D360" s="136"/>
      <c r="F360" s="136"/>
      <c r="H360" s="136"/>
    </row>
    <row r="361">
      <c r="A361" s="104"/>
      <c r="D361" s="136"/>
      <c r="F361" s="136"/>
      <c r="H361" s="136"/>
    </row>
    <row r="362">
      <c r="A362" s="104"/>
      <c r="D362" s="136"/>
      <c r="F362" s="136"/>
      <c r="H362" s="136"/>
    </row>
    <row r="363">
      <c r="A363" s="104"/>
      <c r="D363" s="136"/>
      <c r="F363" s="136"/>
      <c r="H363" s="136"/>
    </row>
    <row r="364">
      <c r="A364" s="104"/>
      <c r="D364" s="136"/>
      <c r="F364" s="136"/>
      <c r="H364" s="136"/>
    </row>
    <row r="365">
      <c r="A365" s="104"/>
      <c r="D365" s="136"/>
      <c r="F365" s="136"/>
      <c r="H365" s="136"/>
    </row>
    <row r="366">
      <c r="A366" s="104"/>
      <c r="D366" s="136"/>
      <c r="F366" s="136"/>
      <c r="H366" s="136"/>
    </row>
    <row r="367">
      <c r="A367" s="104"/>
      <c r="D367" s="136"/>
      <c r="F367" s="136"/>
      <c r="H367" s="136"/>
    </row>
    <row r="368">
      <c r="A368" s="104"/>
      <c r="D368" s="136"/>
      <c r="F368" s="136"/>
      <c r="H368" s="136"/>
    </row>
    <row r="369">
      <c r="A369" s="104"/>
      <c r="D369" s="136"/>
      <c r="F369" s="136"/>
      <c r="H369" s="136"/>
    </row>
    <row r="370">
      <c r="A370" s="104"/>
      <c r="D370" s="136"/>
      <c r="F370" s="136"/>
      <c r="H370" s="136"/>
    </row>
    <row r="371">
      <c r="A371" s="104"/>
      <c r="D371" s="136"/>
      <c r="F371" s="136"/>
      <c r="H371" s="136"/>
    </row>
    <row r="372">
      <c r="A372" s="104"/>
      <c r="D372" s="136"/>
      <c r="F372" s="136"/>
      <c r="H372" s="136"/>
    </row>
    <row r="373">
      <c r="A373" s="104"/>
      <c r="D373" s="136"/>
      <c r="F373" s="136"/>
      <c r="H373" s="136"/>
    </row>
    <row r="374">
      <c r="A374" s="104"/>
      <c r="D374" s="136"/>
      <c r="F374" s="136"/>
      <c r="H374" s="136"/>
    </row>
    <row r="375">
      <c r="A375" s="104"/>
      <c r="D375" s="136"/>
      <c r="F375" s="136"/>
      <c r="H375" s="136"/>
    </row>
    <row r="376">
      <c r="A376" s="104"/>
      <c r="D376" s="136"/>
      <c r="F376" s="136"/>
      <c r="H376" s="136"/>
    </row>
    <row r="377">
      <c r="A377" s="104"/>
      <c r="D377" s="136"/>
      <c r="F377" s="136"/>
      <c r="H377" s="136"/>
    </row>
    <row r="378">
      <c r="A378" s="104"/>
      <c r="D378" s="136"/>
      <c r="F378" s="136"/>
      <c r="H378" s="136"/>
    </row>
    <row r="379">
      <c r="A379" s="104"/>
      <c r="D379" s="136"/>
      <c r="F379" s="136"/>
      <c r="H379" s="136"/>
    </row>
    <row r="380">
      <c r="A380" s="104"/>
      <c r="D380" s="136"/>
      <c r="F380" s="136"/>
      <c r="H380" s="136"/>
    </row>
    <row r="381">
      <c r="A381" s="104"/>
      <c r="D381" s="136"/>
      <c r="F381" s="136"/>
      <c r="H381" s="136"/>
    </row>
    <row r="382">
      <c r="A382" s="104"/>
      <c r="D382" s="136"/>
      <c r="F382" s="136"/>
      <c r="H382" s="136"/>
    </row>
    <row r="383">
      <c r="A383" s="104"/>
      <c r="D383" s="136"/>
      <c r="F383" s="136"/>
      <c r="H383" s="136"/>
    </row>
    <row r="384">
      <c r="A384" s="104"/>
      <c r="D384" s="136"/>
      <c r="F384" s="136"/>
      <c r="H384" s="136"/>
    </row>
    <row r="385">
      <c r="A385" s="104"/>
      <c r="D385" s="136"/>
      <c r="F385" s="136"/>
      <c r="H385" s="136"/>
    </row>
    <row r="386">
      <c r="A386" s="104"/>
      <c r="D386" s="136"/>
      <c r="F386" s="136"/>
      <c r="H386" s="136"/>
    </row>
    <row r="387">
      <c r="A387" s="104"/>
      <c r="D387" s="136"/>
      <c r="F387" s="136"/>
      <c r="H387" s="136"/>
    </row>
    <row r="388">
      <c r="A388" s="104"/>
      <c r="D388" s="136"/>
      <c r="F388" s="136"/>
      <c r="H388" s="136"/>
    </row>
    <row r="389">
      <c r="A389" s="104"/>
      <c r="D389" s="136"/>
      <c r="F389" s="136"/>
      <c r="H389" s="136"/>
    </row>
    <row r="390">
      <c r="A390" s="104"/>
      <c r="D390" s="136"/>
      <c r="F390" s="136"/>
      <c r="H390" s="136"/>
    </row>
    <row r="391">
      <c r="A391" s="104"/>
      <c r="D391" s="136"/>
      <c r="F391" s="136"/>
      <c r="H391" s="136"/>
    </row>
    <row r="392">
      <c r="A392" s="104"/>
      <c r="D392" s="136"/>
      <c r="F392" s="136"/>
      <c r="H392" s="136"/>
    </row>
    <row r="393">
      <c r="A393" s="104"/>
      <c r="D393" s="136"/>
      <c r="F393" s="136"/>
      <c r="H393" s="136"/>
    </row>
    <row r="394">
      <c r="A394" s="104"/>
      <c r="D394" s="136"/>
      <c r="F394" s="136"/>
      <c r="H394" s="136"/>
    </row>
    <row r="395">
      <c r="A395" s="104"/>
      <c r="D395" s="136"/>
      <c r="F395" s="136"/>
      <c r="H395" s="136"/>
    </row>
    <row r="396">
      <c r="A396" s="104"/>
      <c r="D396" s="136"/>
      <c r="F396" s="136"/>
      <c r="H396" s="136"/>
    </row>
    <row r="397">
      <c r="A397" s="104"/>
      <c r="D397" s="136"/>
      <c r="F397" s="136"/>
      <c r="H397" s="136"/>
    </row>
    <row r="398">
      <c r="A398" s="104"/>
      <c r="D398" s="136"/>
      <c r="F398" s="136"/>
      <c r="H398" s="136"/>
    </row>
    <row r="399">
      <c r="A399" s="104"/>
      <c r="D399" s="136"/>
      <c r="F399" s="136"/>
      <c r="H399" s="136"/>
    </row>
    <row r="400">
      <c r="A400" s="104"/>
      <c r="D400" s="136"/>
      <c r="F400" s="136"/>
      <c r="H400" s="136"/>
    </row>
    <row r="401">
      <c r="A401" s="104"/>
      <c r="D401" s="136"/>
      <c r="F401" s="136"/>
      <c r="H401" s="136"/>
    </row>
    <row r="402">
      <c r="A402" s="104"/>
      <c r="D402" s="136"/>
      <c r="F402" s="136"/>
      <c r="H402" s="136"/>
    </row>
    <row r="403">
      <c r="A403" s="104"/>
      <c r="D403" s="136"/>
      <c r="F403" s="136"/>
      <c r="H403" s="136"/>
    </row>
    <row r="404">
      <c r="A404" s="104"/>
      <c r="D404" s="136"/>
      <c r="F404" s="136"/>
      <c r="H404" s="136"/>
    </row>
    <row r="405">
      <c r="A405" s="104"/>
      <c r="D405" s="136"/>
      <c r="F405" s="136"/>
      <c r="H405" s="136"/>
    </row>
    <row r="406">
      <c r="A406" s="104"/>
      <c r="D406" s="136"/>
      <c r="F406" s="136"/>
      <c r="H406" s="136"/>
    </row>
    <row r="407">
      <c r="A407" s="104"/>
      <c r="D407" s="136"/>
      <c r="F407" s="136"/>
      <c r="H407" s="136"/>
    </row>
    <row r="408">
      <c r="A408" s="104"/>
      <c r="D408" s="136"/>
      <c r="F408" s="136"/>
      <c r="H408" s="136"/>
    </row>
    <row r="409">
      <c r="A409" s="104"/>
      <c r="D409" s="136"/>
      <c r="F409" s="136"/>
      <c r="H409" s="136"/>
    </row>
    <row r="410">
      <c r="A410" s="104"/>
      <c r="D410" s="136"/>
      <c r="F410" s="136"/>
      <c r="H410" s="136"/>
    </row>
    <row r="411">
      <c r="A411" s="104"/>
      <c r="D411" s="136"/>
      <c r="F411" s="136"/>
      <c r="H411" s="136"/>
    </row>
    <row r="412">
      <c r="A412" s="104"/>
      <c r="D412" s="136"/>
      <c r="F412" s="136"/>
      <c r="H412" s="136"/>
    </row>
    <row r="413">
      <c r="A413" s="104"/>
      <c r="D413" s="136"/>
      <c r="F413" s="136"/>
      <c r="H413" s="136"/>
    </row>
    <row r="414">
      <c r="A414" s="104"/>
      <c r="D414" s="136"/>
      <c r="F414" s="136"/>
      <c r="H414" s="136"/>
    </row>
    <row r="415">
      <c r="A415" s="104"/>
      <c r="D415" s="136"/>
      <c r="F415" s="136"/>
      <c r="H415" s="136"/>
    </row>
    <row r="416">
      <c r="A416" s="104"/>
      <c r="D416" s="136"/>
      <c r="F416" s="136"/>
      <c r="H416" s="136"/>
    </row>
    <row r="417">
      <c r="A417" s="104"/>
      <c r="D417" s="136"/>
      <c r="F417" s="136"/>
      <c r="H417" s="136"/>
    </row>
    <row r="418">
      <c r="A418" s="104"/>
      <c r="D418" s="136"/>
      <c r="F418" s="136"/>
      <c r="H418" s="136"/>
    </row>
    <row r="419">
      <c r="A419" s="104"/>
      <c r="D419" s="136"/>
      <c r="F419" s="136"/>
      <c r="H419" s="136"/>
    </row>
    <row r="420">
      <c r="A420" s="104"/>
      <c r="D420" s="136"/>
      <c r="F420" s="136"/>
      <c r="H420" s="136"/>
    </row>
    <row r="421">
      <c r="A421" s="104"/>
      <c r="D421" s="136"/>
      <c r="F421" s="136"/>
      <c r="H421" s="136"/>
    </row>
    <row r="422">
      <c r="A422" s="104"/>
      <c r="D422" s="136"/>
      <c r="F422" s="136"/>
      <c r="H422" s="136"/>
    </row>
    <row r="423">
      <c r="A423" s="104"/>
      <c r="D423" s="136"/>
      <c r="F423" s="136"/>
      <c r="H423" s="136"/>
    </row>
    <row r="424">
      <c r="A424" s="104"/>
      <c r="D424" s="136"/>
      <c r="F424" s="136"/>
      <c r="H424" s="136"/>
    </row>
    <row r="425">
      <c r="A425" s="104"/>
      <c r="D425" s="136"/>
      <c r="F425" s="136"/>
      <c r="H425" s="136"/>
    </row>
    <row r="426">
      <c r="A426" s="104"/>
      <c r="D426" s="136"/>
      <c r="F426" s="136"/>
      <c r="H426" s="136"/>
    </row>
    <row r="427">
      <c r="A427" s="104"/>
      <c r="D427" s="136"/>
      <c r="F427" s="136"/>
      <c r="H427" s="136"/>
    </row>
    <row r="428">
      <c r="A428" s="104"/>
      <c r="D428" s="136"/>
      <c r="F428" s="136"/>
      <c r="H428" s="136"/>
    </row>
    <row r="429">
      <c r="A429" s="104"/>
      <c r="D429" s="136"/>
      <c r="F429" s="136"/>
      <c r="H429" s="136"/>
    </row>
    <row r="430">
      <c r="A430" s="104"/>
      <c r="D430" s="136"/>
      <c r="F430" s="136"/>
      <c r="H430" s="136"/>
    </row>
    <row r="431">
      <c r="A431" s="104"/>
      <c r="D431" s="136"/>
      <c r="F431" s="136"/>
      <c r="H431" s="136"/>
    </row>
    <row r="432">
      <c r="A432" s="104"/>
      <c r="D432" s="136"/>
      <c r="F432" s="136"/>
      <c r="H432" s="136"/>
    </row>
    <row r="433">
      <c r="A433" s="104"/>
      <c r="D433" s="136"/>
      <c r="F433" s="136"/>
      <c r="H433" s="136"/>
    </row>
    <row r="434">
      <c r="A434" s="104"/>
      <c r="D434" s="136"/>
      <c r="F434" s="136"/>
      <c r="H434" s="136"/>
    </row>
    <row r="435">
      <c r="A435" s="104"/>
      <c r="D435" s="136"/>
      <c r="F435" s="136"/>
      <c r="H435" s="136"/>
    </row>
    <row r="436">
      <c r="A436" s="104"/>
      <c r="D436" s="136"/>
      <c r="F436" s="136"/>
      <c r="H436" s="136"/>
    </row>
    <row r="437">
      <c r="A437" s="104"/>
      <c r="D437" s="136"/>
      <c r="F437" s="136"/>
      <c r="H437" s="136"/>
    </row>
    <row r="438">
      <c r="A438" s="104"/>
      <c r="D438" s="136"/>
      <c r="F438" s="136"/>
      <c r="H438" s="136"/>
    </row>
    <row r="439">
      <c r="A439" s="104"/>
      <c r="D439" s="136"/>
      <c r="F439" s="136"/>
      <c r="H439" s="136"/>
    </row>
    <row r="440">
      <c r="A440" s="104"/>
      <c r="D440" s="136"/>
      <c r="F440" s="136"/>
      <c r="H440" s="136"/>
    </row>
    <row r="441">
      <c r="A441" s="104"/>
      <c r="D441" s="136"/>
      <c r="F441" s="136"/>
      <c r="H441" s="136"/>
    </row>
    <row r="442">
      <c r="A442" s="104"/>
      <c r="D442" s="136"/>
      <c r="F442" s="136"/>
      <c r="H442" s="136"/>
    </row>
    <row r="443">
      <c r="A443" s="104"/>
      <c r="D443" s="136"/>
      <c r="F443" s="136"/>
      <c r="H443" s="136"/>
    </row>
    <row r="444">
      <c r="A444" s="104"/>
      <c r="D444" s="136"/>
      <c r="F444" s="136"/>
      <c r="H444" s="136"/>
    </row>
    <row r="445">
      <c r="A445" s="104"/>
      <c r="D445" s="136"/>
      <c r="F445" s="136"/>
      <c r="H445" s="136"/>
    </row>
    <row r="446">
      <c r="A446" s="104"/>
      <c r="D446" s="136"/>
      <c r="F446" s="136"/>
      <c r="H446" s="136"/>
    </row>
    <row r="447">
      <c r="A447" s="104"/>
      <c r="D447" s="136"/>
      <c r="F447" s="136"/>
      <c r="H447" s="136"/>
    </row>
    <row r="448">
      <c r="A448" s="104"/>
      <c r="D448" s="136"/>
      <c r="F448" s="136"/>
      <c r="H448" s="136"/>
    </row>
    <row r="449">
      <c r="A449" s="104"/>
      <c r="D449" s="136"/>
      <c r="F449" s="136"/>
      <c r="H449" s="136"/>
    </row>
    <row r="450">
      <c r="A450" s="104"/>
      <c r="D450" s="136"/>
      <c r="F450" s="136"/>
      <c r="H450" s="136"/>
    </row>
    <row r="451">
      <c r="A451" s="104"/>
      <c r="D451" s="136"/>
      <c r="F451" s="136"/>
      <c r="H451" s="136"/>
    </row>
    <row r="452">
      <c r="A452" s="104"/>
      <c r="D452" s="136"/>
      <c r="F452" s="136"/>
      <c r="H452" s="136"/>
    </row>
    <row r="453">
      <c r="A453" s="104"/>
      <c r="D453" s="136"/>
      <c r="F453" s="136"/>
      <c r="H453" s="136"/>
    </row>
    <row r="454">
      <c r="A454" s="104"/>
      <c r="D454" s="136"/>
      <c r="F454" s="136"/>
      <c r="H454" s="136"/>
    </row>
    <row r="455">
      <c r="A455" s="104"/>
      <c r="D455" s="136"/>
      <c r="F455" s="136"/>
      <c r="H455" s="136"/>
    </row>
    <row r="456">
      <c r="A456" s="104"/>
      <c r="D456" s="136"/>
      <c r="F456" s="136"/>
      <c r="H456" s="136"/>
    </row>
    <row r="457">
      <c r="A457" s="104"/>
      <c r="D457" s="136"/>
      <c r="F457" s="136"/>
      <c r="H457" s="136"/>
    </row>
    <row r="458">
      <c r="A458" s="104"/>
      <c r="D458" s="136"/>
      <c r="F458" s="136"/>
      <c r="H458" s="136"/>
    </row>
    <row r="459">
      <c r="A459" s="104"/>
      <c r="D459" s="136"/>
      <c r="F459" s="136"/>
      <c r="H459" s="136"/>
    </row>
    <row r="460">
      <c r="A460" s="104"/>
      <c r="D460" s="136"/>
      <c r="F460" s="136"/>
      <c r="H460" s="136"/>
    </row>
    <row r="461">
      <c r="A461" s="104"/>
      <c r="D461" s="136"/>
      <c r="F461" s="136"/>
      <c r="H461" s="136"/>
    </row>
    <row r="462">
      <c r="A462" s="104"/>
      <c r="D462" s="136"/>
      <c r="F462" s="136"/>
      <c r="H462" s="136"/>
    </row>
    <row r="463">
      <c r="A463" s="104"/>
      <c r="D463" s="136"/>
      <c r="F463" s="136"/>
      <c r="H463" s="136"/>
    </row>
    <row r="464">
      <c r="A464" s="104"/>
      <c r="D464" s="136"/>
      <c r="F464" s="136"/>
      <c r="H464" s="136"/>
    </row>
    <row r="465">
      <c r="A465" s="104"/>
      <c r="D465" s="136"/>
      <c r="F465" s="136"/>
      <c r="H465" s="136"/>
    </row>
    <row r="466">
      <c r="A466" s="104"/>
      <c r="D466" s="136"/>
      <c r="F466" s="136"/>
      <c r="H466" s="136"/>
    </row>
    <row r="467">
      <c r="A467" s="104"/>
      <c r="D467" s="136"/>
      <c r="F467" s="136"/>
      <c r="H467" s="136"/>
    </row>
    <row r="468">
      <c r="A468" s="104"/>
      <c r="D468" s="136"/>
      <c r="F468" s="136"/>
      <c r="H468" s="136"/>
    </row>
    <row r="469">
      <c r="A469" s="104"/>
      <c r="D469" s="136"/>
      <c r="F469" s="136"/>
      <c r="H469" s="136"/>
    </row>
    <row r="470">
      <c r="A470" s="104"/>
      <c r="D470" s="136"/>
      <c r="F470" s="136"/>
      <c r="H470" s="136"/>
    </row>
    <row r="471">
      <c r="A471" s="104"/>
      <c r="D471" s="136"/>
      <c r="F471" s="136"/>
      <c r="H471" s="136"/>
    </row>
    <row r="472">
      <c r="A472" s="104"/>
      <c r="D472" s="136"/>
      <c r="F472" s="136"/>
      <c r="H472" s="136"/>
    </row>
    <row r="473">
      <c r="A473" s="104"/>
      <c r="D473" s="136"/>
      <c r="F473" s="136"/>
      <c r="H473" s="136"/>
    </row>
    <row r="474">
      <c r="A474" s="104"/>
      <c r="D474" s="136"/>
      <c r="F474" s="136"/>
      <c r="H474" s="136"/>
    </row>
    <row r="475">
      <c r="A475" s="104"/>
      <c r="D475" s="136"/>
      <c r="F475" s="136"/>
      <c r="H475" s="136"/>
    </row>
    <row r="476">
      <c r="A476" s="104"/>
      <c r="D476" s="136"/>
      <c r="F476" s="136"/>
      <c r="H476" s="136"/>
    </row>
    <row r="477">
      <c r="A477" s="104"/>
      <c r="D477" s="136"/>
      <c r="F477" s="136"/>
      <c r="H477" s="136"/>
    </row>
    <row r="478">
      <c r="A478" s="104"/>
      <c r="D478" s="136"/>
      <c r="F478" s="136"/>
      <c r="H478" s="136"/>
    </row>
    <row r="479">
      <c r="A479" s="104"/>
      <c r="D479" s="136"/>
      <c r="F479" s="136"/>
      <c r="H479" s="136"/>
    </row>
    <row r="480">
      <c r="A480" s="104"/>
      <c r="D480" s="136"/>
      <c r="F480" s="136"/>
      <c r="H480" s="136"/>
    </row>
    <row r="481">
      <c r="A481" s="104"/>
      <c r="D481" s="136"/>
      <c r="F481" s="136"/>
      <c r="H481" s="136"/>
    </row>
    <row r="482">
      <c r="A482" s="104"/>
      <c r="D482" s="136"/>
      <c r="F482" s="136"/>
      <c r="H482" s="136"/>
    </row>
    <row r="483">
      <c r="A483" s="104"/>
      <c r="D483" s="136"/>
      <c r="F483" s="136"/>
      <c r="H483" s="136"/>
    </row>
    <row r="484">
      <c r="A484" s="104"/>
      <c r="D484" s="136"/>
      <c r="F484" s="136"/>
      <c r="H484" s="136"/>
    </row>
    <row r="485">
      <c r="A485" s="104"/>
      <c r="D485" s="136"/>
      <c r="F485" s="136"/>
      <c r="H485" s="136"/>
    </row>
    <row r="486">
      <c r="A486" s="104"/>
      <c r="D486" s="136"/>
      <c r="F486" s="136"/>
      <c r="H486" s="136"/>
    </row>
    <row r="487">
      <c r="A487" s="104"/>
      <c r="D487" s="136"/>
      <c r="F487" s="136"/>
      <c r="H487" s="136"/>
    </row>
    <row r="488">
      <c r="A488" s="104"/>
      <c r="D488" s="136"/>
      <c r="F488" s="136"/>
      <c r="H488" s="136"/>
    </row>
    <row r="489">
      <c r="A489" s="104"/>
      <c r="D489" s="136"/>
      <c r="F489" s="136"/>
      <c r="H489" s="136"/>
    </row>
    <row r="490">
      <c r="A490" s="104"/>
      <c r="D490" s="136"/>
      <c r="F490" s="136"/>
      <c r="H490" s="136"/>
    </row>
    <row r="491">
      <c r="A491" s="104"/>
      <c r="D491" s="136"/>
      <c r="F491" s="136"/>
      <c r="H491" s="136"/>
    </row>
    <row r="492">
      <c r="A492" s="104"/>
      <c r="D492" s="136"/>
      <c r="F492" s="136"/>
      <c r="H492" s="136"/>
    </row>
    <row r="493">
      <c r="A493" s="104"/>
      <c r="D493" s="136"/>
      <c r="F493" s="136"/>
      <c r="H493" s="136"/>
    </row>
    <row r="494">
      <c r="A494" s="104"/>
      <c r="D494" s="136"/>
      <c r="F494" s="136"/>
      <c r="H494" s="136"/>
    </row>
    <row r="495">
      <c r="A495" s="104"/>
      <c r="D495" s="136"/>
      <c r="F495" s="136"/>
      <c r="H495" s="136"/>
    </row>
    <row r="496">
      <c r="A496" s="104"/>
      <c r="D496" s="136"/>
      <c r="F496" s="136"/>
      <c r="H496" s="136"/>
    </row>
    <row r="497">
      <c r="A497" s="104"/>
      <c r="D497" s="136"/>
      <c r="F497" s="136"/>
      <c r="H497" s="136"/>
    </row>
    <row r="498">
      <c r="A498" s="104"/>
      <c r="D498" s="136"/>
      <c r="F498" s="136"/>
      <c r="H498" s="136"/>
    </row>
    <row r="499">
      <c r="A499" s="104"/>
      <c r="D499" s="136"/>
      <c r="F499" s="136"/>
      <c r="H499" s="136"/>
    </row>
    <row r="500">
      <c r="A500" s="104"/>
      <c r="D500" s="136"/>
      <c r="F500" s="136"/>
      <c r="H500" s="136"/>
    </row>
    <row r="501">
      <c r="A501" s="104"/>
      <c r="D501" s="136"/>
      <c r="F501" s="136"/>
      <c r="H501" s="136"/>
    </row>
    <row r="502">
      <c r="A502" s="104"/>
      <c r="D502" s="136"/>
      <c r="F502" s="136"/>
      <c r="H502" s="136"/>
    </row>
    <row r="503">
      <c r="A503" s="104"/>
      <c r="D503" s="136"/>
      <c r="F503" s="136"/>
      <c r="H503" s="136"/>
    </row>
    <row r="504">
      <c r="A504" s="104"/>
      <c r="D504" s="136"/>
      <c r="F504" s="136"/>
      <c r="H504" s="136"/>
    </row>
    <row r="505">
      <c r="A505" s="104"/>
      <c r="D505" s="136"/>
      <c r="F505" s="136"/>
      <c r="H505" s="136"/>
    </row>
    <row r="506">
      <c r="A506" s="104"/>
      <c r="D506" s="136"/>
      <c r="F506" s="136"/>
      <c r="H506" s="136"/>
    </row>
    <row r="507">
      <c r="A507" s="104"/>
      <c r="D507" s="136"/>
      <c r="F507" s="136"/>
      <c r="H507" s="136"/>
    </row>
    <row r="508">
      <c r="A508" s="104"/>
      <c r="D508" s="136"/>
      <c r="F508" s="136"/>
      <c r="H508" s="136"/>
    </row>
    <row r="509">
      <c r="A509" s="104"/>
      <c r="D509" s="136"/>
      <c r="F509" s="136"/>
      <c r="H509" s="136"/>
    </row>
    <row r="510">
      <c r="A510" s="104"/>
      <c r="D510" s="136"/>
      <c r="F510" s="136"/>
      <c r="H510" s="136"/>
    </row>
    <row r="511">
      <c r="A511" s="104"/>
      <c r="D511" s="136"/>
      <c r="F511" s="136"/>
      <c r="H511" s="136"/>
    </row>
    <row r="512">
      <c r="A512" s="104"/>
      <c r="D512" s="136"/>
      <c r="F512" s="136"/>
      <c r="H512" s="136"/>
    </row>
    <row r="513">
      <c r="A513" s="104"/>
      <c r="D513" s="136"/>
      <c r="F513" s="136"/>
      <c r="H513" s="136"/>
    </row>
    <row r="514">
      <c r="A514" s="104"/>
      <c r="D514" s="136"/>
      <c r="F514" s="136"/>
      <c r="H514" s="136"/>
    </row>
    <row r="515">
      <c r="A515" s="104"/>
      <c r="D515" s="136"/>
      <c r="F515" s="136"/>
      <c r="H515" s="136"/>
    </row>
    <row r="516">
      <c r="A516" s="104"/>
      <c r="D516" s="136"/>
      <c r="F516" s="136"/>
      <c r="H516" s="136"/>
    </row>
    <row r="517">
      <c r="A517" s="104"/>
      <c r="D517" s="136"/>
      <c r="F517" s="136"/>
      <c r="H517" s="136"/>
    </row>
    <row r="518">
      <c r="A518" s="104"/>
      <c r="D518" s="136"/>
      <c r="F518" s="136"/>
      <c r="H518" s="136"/>
    </row>
    <row r="519">
      <c r="A519" s="104"/>
      <c r="D519" s="136"/>
      <c r="F519" s="136"/>
      <c r="H519" s="136"/>
    </row>
    <row r="520">
      <c r="A520" s="104"/>
      <c r="D520" s="136"/>
      <c r="F520" s="136"/>
      <c r="H520" s="136"/>
    </row>
    <row r="521">
      <c r="A521" s="104"/>
      <c r="D521" s="136"/>
      <c r="F521" s="136"/>
      <c r="H521" s="136"/>
    </row>
    <row r="522">
      <c r="A522" s="104"/>
      <c r="D522" s="136"/>
      <c r="F522" s="136"/>
      <c r="H522" s="136"/>
    </row>
    <row r="523">
      <c r="A523" s="104"/>
      <c r="D523" s="136"/>
      <c r="F523" s="136"/>
      <c r="H523" s="136"/>
    </row>
    <row r="524">
      <c r="A524" s="104"/>
      <c r="D524" s="136"/>
      <c r="F524" s="136"/>
      <c r="H524" s="136"/>
    </row>
    <row r="525">
      <c r="A525" s="104"/>
      <c r="D525" s="136"/>
      <c r="F525" s="136"/>
      <c r="H525" s="136"/>
    </row>
    <row r="526">
      <c r="A526" s="104"/>
      <c r="D526" s="136"/>
      <c r="F526" s="136"/>
      <c r="H526" s="136"/>
    </row>
    <row r="527">
      <c r="A527" s="104"/>
      <c r="D527" s="136"/>
      <c r="F527" s="136"/>
      <c r="H527" s="136"/>
    </row>
    <row r="528">
      <c r="A528" s="104"/>
      <c r="D528" s="136"/>
      <c r="F528" s="136"/>
      <c r="H528" s="136"/>
    </row>
    <row r="529">
      <c r="A529" s="104"/>
      <c r="D529" s="136"/>
      <c r="F529" s="136"/>
      <c r="H529" s="136"/>
    </row>
    <row r="530">
      <c r="A530" s="104"/>
      <c r="D530" s="136"/>
      <c r="F530" s="136"/>
      <c r="H530" s="136"/>
    </row>
    <row r="531">
      <c r="A531" s="104"/>
      <c r="D531" s="136"/>
      <c r="F531" s="136"/>
      <c r="H531" s="136"/>
    </row>
    <row r="532">
      <c r="A532" s="104"/>
      <c r="D532" s="136"/>
      <c r="F532" s="136"/>
      <c r="H532" s="136"/>
    </row>
    <row r="533">
      <c r="A533" s="104"/>
      <c r="D533" s="136"/>
      <c r="F533" s="136"/>
      <c r="H533" s="136"/>
    </row>
    <row r="534">
      <c r="A534" s="104"/>
      <c r="D534" s="136"/>
      <c r="F534" s="136"/>
      <c r="H534" s="136"/>
    </row>
    <row r="535">
      <c r="A535" s="104"/>
      <c r="D535" s="136"/>
      <c r="F535" s="136"/>
      <c r="H535" s="136"/>
    </row>
    <row r="536">
      <c r="A536" s="104"/>
      <c r="D536" s="136"/>
      <c r="F536" s="136"/>
      <c r="H536" s="136"/>
    </row>
    <row r="537">
      <c r="A537" s="104"/>
      <c r="D537" s="136"/>
      <c r="F537" s="136"/>
      <c r="H537" s="136"/>
    </row>
    <row r="538">
      <c r="A538" s="104"/>
      <c r="D538" s="136"/>
      <c r="F538" s="136"/>
      <c r="H538" s="136"/>
    </row>
    <row r="539">
      <c r="A539" s="104"/>
      <c r="D539" s="136"/>
      <c r="F539" s="136"/>
      <c r="H539" s="136"/>
    </row>
    <row r="540">
      <c r="A540" s="104"/>
      <c r="D540" s="136"/>
      <c r="F540" s="136"/>
      <c r="H540" s="136"/>
    </row>
    <row r="541">
      <c r="A541" s="104"/>
      <c r="D541" s="136"/>
      <c r="F541" s="136"/>
      <c r="H541" s="136"/>
    </row>
    <row r="542">
      <c r="A542" s="104"/>
      <c r="D542" s="136"/>
      <c r="F542" s="136"/>
      <c r="H542" s="136"/>
    </row>
    <row r="543">
      <c r="A543" s="104"/>
      <c r="D543" s="136"/>
      <c r="F543" s="136"/>
      <c r="H543" s="136"/>
    </row>
    <row r="544">
      <c r="A544" s="104"/>
      <c r="D544" s="136"/>
      <c r="F544" s="136"/>
      <c r="H544" s="136"/>
    </row>
    <row r="545">
      <c r="A545" s="104"/>
      <c r="D545" s="136"/>
      <c r="F545" s="136"/>
      <c r="H545" s="136"/>
    </row>
    <row r="546">
      <c r="A546" s="104"/>
      <c r="D546" s="136"/>
      <c r="F546" s="136"/>
      <c r="H546" s="136"/>
    </row>
    <row r="547">
      <c r="A547" s="104"/>
      <c r="D547" s="136"/>
      <c r="F547" s="136"/>
      <c r="H547" s="136"/>
    </row>
    <row r="548">
      <c r="A548" s="104"/>
      <c r="D548" s="136"/>
      <c r="F548" s="136"/>
      <c r="H548" s="136"/>
    </row>
    <row r="549">
      <c r="A549" s="104"/>
      <c r="D549" s="136"/>
      <c r="F549" s="136"/>
      <c r="H549" s="136"/>
    </row>
    <row r="550">
      <c r="A550" s="104"/>
      <c r="D550" s="136"/>
      <c r="F550" s="136"/>
      <c r="H550" s="136"/>
    </row>
    <row r="551">
      <c r="A551" s="104"/>
      <c r="D551" s="136"/>
      <c r="F551" s="136"/>
      <c r="H551" s="136"/>
    </row>
    <row r="552">
      <c r="A552" s="104"/>
      <c r="D552" s="136"/>
      <c r="F552" s="136"/>
      <c r="H552" s="136"/>
    </row>
    <row r="553">
      <c r="A553" s="104"/>
      <c r="D553" s="136"/>
      <c r="F553" s="136"/>
      <c r="H553" s="136"/>
    </row>
    <row r="554">
      <c r="A554" s="104"/>
      <c r="D554" s="136"/>
      <c r="F554" s="136"/>
      <c r="H554" s="136"/>
    </row>
    <row r="555">
      <c r="A555" s="104"/>
      <c r="D555" s="136"/>
      <c r="F555" s="136"/>
      <c r="H555" s="136"/>
    </row>
    <row r="556">
      <c r="A556" s="104"/>
      <c r="D556" s="136"/>
      <c r="F556" s="136"/>
      <c r="H556" s="136"/>
    </row>
    <row r="557">
      <c r="A557" s="104"/>
      <c r="D557" s="136"/>
      <c r="F557" s="136"/>
      <c r="H557" s="136"/>
    </row>
    <row r="558">
      <c r="A558" s="104"/>
      <c r="D558" s="136"/>
      <c r="F558" s="136"/>
      <c r="H558" s="136"/>
    </row>
    <row r="559">
      <c r="A559" s="104"/>
      <c r="D559" s="136"/>
      <c r="F559" s="136"/>
      <c r="H559" s="136"/>
    </row>
    <row r="560">
      <c r="A560" s="104"/>
      <c r="D560" s="136"/>
      <c r="F560" s="136"/>
      <c r="H560" s="136"/>
    </row>
    <row r="561">
      <c r="A561" s="104"/>
      <c r="D561" s="136"/>
      <c r="F561" s="136"/>
      <c r="H561" s="136"/>
    </row>
    <row r="562">
      <c r="A562" s="104"/>
      <c r="D562" s="136"/>
      <c r="F562" s="136"/>
      <c r="H562" s="136"/>
    </row>
    <row r="563">
      <c r="A563" s="104"/>
      <c r="D563" s="136"/>
      <c r="F563" s="136"/>
      <c r="H563" s="136"/>
    </row>
    <row r="564">
      <c r="A564" s="104"/>
      <c r="D564" s="136"/>
      <c r="F564" s="136"/>
      <c r="H564" s="136"/>
    </row>
    <row r="565">
      <c r="A565" s="104"/>
      <c r="D565" s="136"/>
      <c r="F565" s="136"/>
      <c r="H565" s="136"/>
    </row>
    <row r="566">
      <c r="A566" s="104"/>
      <c r="D566" s="136"/>
      <c r="F566" s="136"/>
      <c r="H566" s="136"/>
    </row>
    <row r="567">
      <c r="A567" s="104"/>
      <c r="D567" s="136"/>
      <c r="F567" s="136"/>
      <c r="H567" s="136"/>
    </row>
    <row r="568">
      <c r="A568" s="104"/>
      <c r="D568" s="136"/>
      <c r="F568" s="136"/>
      <c r="H568" s="136"/>
    </row>
    <row r="569">
      <c r="A569" s="104"/>
      <c r="D569" s="136"/>
      <c r="F569" s="136"/>
      <c r="H569" s="136"/>
    </row>
    <row r="570">
      <c r="A570" s="104"/>
      <c r="D570" s="136"/>
      <c r="F570" s="136"/>
      <c r="H570" s="136"/>
    </row>
    <row r="571">
      <c r="A571" s="104"/>
      <c r="D571" s="136"/>
      <c r="F571" s="136"/>
      <c r="H571" s="136"/>
    </row>
    <row r="572">
      <c r="A572" s="104"/>
      <c r="D572" s="136"/>
      <c r="F572" s="136"/>
      <c r="H572" s="136"/>
    </row>
    <row r="573">
      <c r="A573" s="104"/>
      <c r="D573" s="136"/>
      <c r="F573" s="136"/>
      <c r="H573" s="136"/>
    </row>
    <row r="574">
      <c r="A574" s="104"/>
      <c r="D574" s="136"/>
      <c r="F574" s="136"/>
      <c r="H574" s="136"/>
    </row>
    <row r="575">
      <c r="A575" s="104"/>
      <c r="D575" s="136"/>
      <c r="F575" s="136"/>
      <c r="H575" s="136"/>
    </row>
    <row r="576">
      <c r="A576" s="104"/>
      <c r="D576" s="136"/>
      <c r="F576" s="136"/>
      <c r="H576" s="136"/>
    </row>
    <row r="577">
      <c r="A577" s="104"/>
      <c r="D577" s="136"/>
      <c r="F577" s="136"/>
      <c r="H577" s="136"/>
    </row>
    <row r="578">
      <c r="A578" s="104"/>
      <c r="D578" s="136"/>
      <c r="F578" s="136"/>
      <c r="H578" s="136"/>
    </row>
    <row r="579">
      <c r="A579" s="104"/>
      <c r="D579" s="136"/>
      <c r="F579" s="136"/>
      <c r="H579" s="136"/>
    </row>
    <row r="580">
      <c r="A580" s="104"/>
      <c r="D580" s="136"/>
      <c r="F580" s="136"/>
      <c r="H580" s="136"/>
    </row>
    <row r="581">
      <c r="A581" s="104"/>
      <c r="D581" s="136"/>
      <c r="F581" s="136"/>
      <c r="H581" s="136"/>
    </row>
    <row r="582">
      <c r="A582" s="104"/>
      <c r="D582" s="136"/>
      <c r="F582" s="136"/>
      <c r="H582" s="136"/>
    </row>
    <row r="583">
      <c r="A583" s="104"/>
      <c r="D583" s="136"/>
      <c r="F583" s="136"/>
      <c r="H583" s="136"/>
    </row>
    <row r="584">
      <c r="A584" s="104"/>
      <c r="D584" s="136"/>
      <c r="F584" s="136"/>
      <c r="H584" s="136"/>
    </row>
    <row r="585">
      <c r="A585" s="104"/>
      <c r="D585" s="136"/>
      <c r="F585" s="136"/>
      <c r="H585" s="136"/>
    </row>
    <row r="586">
      <c r="A586" s="104"/>
      <c r="D586" s="136"/>
      <c r="F586" s="136"/>
      <c r="H586" s="136"/>
    </row>
    <row r="587">
      <c r="A587" s="104"/>
      <c r="D587" s="136"/>
      <c r="F587" s="136"/>
      <c r="H587" s="136"/>
    </row>
    <row r="588">
      <c r="A588" s="104"/>
      <c r="D588" s="136"/>
      <c r="F588" s="136"/>
      <c r="H588" s="136"/>
    </row>
    <row r="589">
      <c r="A589" s="104"/>
      <c r="D589" s="136"/>
      <c r="F589" s="136"/>
      <c r="H589" s="136"/>
    </row>
    <row r="590">
      <c r="A590" s="104"/>
      <c r="D590" s="136"/>
      <c r="F590" s="136"/>
      <c r="H590" s="136"/>
    </row>
    <row r="591">
      <c r="A591" s="104"/>
      <c r="D591" s="136"/>
      <c r="F591" s="136"/>
      <c r="H591" s="136"/>
    </row>
    <row r="592">
      <c r="A592" s="104"/>
      <c r="D592" s="136"/>
      <c r="F592" s="136"/>
      <c r="H592" s="136"/>
    </row>
    <row r="593">
      <c r="A593" s="104"/>
      <c r="D593" s="136"/>
      <c r="F593" s="136"/>
      <c r="H593" s="136"/>
    </row>
    <row r="594">
      <c r="A594" s="104"/>
      <c r="D594" s="136"/>
      <c r="F594" s="136"/>
      <c r="H594" s="136"/>
    </row>
    <row r="595">
      <c r="A595" s="104"/>
      <c r="D595" s="136"/>
      <c r="F595" s="136"/>
      <c r="H595" s="136"/>
    </row>
    <row r="596">
      <c r="A596" s="104"/>
      <c r="D596" s="136"/>
      <c r="F596" s="136"/>
      <c r="H596" s="136"/>
    </row>
    <row r="597">
      <c r="A597" s="104"/>
      <c r="D597" s="136"/>
      <c r="F597" s="136"/>
      <c r="H597" s="136"/>
    </row>
    <row r="598">
      <c r="A598" s="104"/>
      <c r="D598" s="136"/>
      <c r="F598" s="136"/>
      <c r="H598" s="136"/>
    </row>
    <row r="599">
      <c r="A599" s="104"/>
      <c r="D599" s="136"/>
      <c r="F599" s="136"/>
      <c r="H599" s="136"/>
    </row>
    <row r="600">
      <c r="A600" s="104"/>
      <c r="D600" s="136"/>
      <c r="F600" s="136"/>
      <c r="H600" s="136"/>
    </row>
    <row r="601">
      <c r="A601" s="104"/>
      <c r="D601" s="136"/>
      <c r="F601" s="136"/>
      <c r="H601" s="136"/>
    </row>
    <row r="602">
      <c r="A602" s="104"/>
      <c r="D602" s="136"/>
      <c r="F602" s="136"/>
      <c r="H602" s="136"/>
    </row>
    <row r="603">
      <c r="A603" s="104"/>
      <c r="D603" s="136"/>
      <c r="F603" s="136"/>
      <c r="H603" s="136"/>
    </row>
    <row r="604">
      <c r="A604" s="104"/>
      <c r="D604" s="136"/>
      <c r="F604" s="136"/>
      <c r="H604" s="136"/>
    </row>
    <row r="605">
      <c r="A605" s="104"/>
      <c r="D605" s="136"/>
      <c r="F605" s="136"/>
      <c r="H605" s="136"/>
    </row>
    <row r="606">
      <c r="A606" s="104"/>
      <c r="D606" s="136"/>
      <c r="F606" s="136"/>
      <c r="H606" s="136"/>
    </row>
    <row r="607">
      <c r="A607" s="104"/>
      <c r="D607" s="136"/>
      <c r="F607" s="136"/>
      <c r="H607" s="136"/>
    </row>
    <row r="608">
      <c r="A608" s="104"/>
      <c r="D608" s="136"/>
      <c r="F608" s="136"/>
      <c r="H608" s="136"/>
    </row>
    <row r="609">
      <c r="A609" s="104"/>
      <c r="D609" s="136"/>
      <c r="F609" s="136"/>
      <c r="H609" s="136"/>
    </row>
    <row r="610">
      <c r="A610" s="104"/>
      <c r="D610" s="136"/>
      <c r="F610" s="136"/>
      <c r="H610" s="136"/>
    </row>
    <row r="611">
      <c r="A611" s="104"/>
      <c r="D611" s="136"/>
      <c r="F611" s="136"/>
      <c r="H611" s="136"/>
    </row>
    <row r="612">
      <c r="A612" s="104"/>
      <c r="D612" s="136"/>
      <c r="F612" s="136"/>
      <c r="H612" s="136"/>
    </row>
    <row r="613">
      <c r="A613" s="104"/>
      <c r="D613" s="136"/>
      <c r="F613" s="136"/>
      <c r="H613" s="136"/>
    </row>
    <row r="614">
      <c r="A614" s="104"/>
      <c r="D614" s="136"/>
      <c r="F614" s="136"/>
      <c r="H614" s="136"/>
    </row>
    <row r="615">
      <c r="A615" s="104"/>
      <c r="D615" s="136"/>
      <c r="F615" s="136"/>
      <c r="H615" s="136"/>
    </row>
    <row r="616">
      <c r="A616" s="104"/>
      <c r="D616" s="136"/>
      <c r="F616" s="136"/>
      <c r="H616" s="136"/>
    </row>
    <row r="617">
      <c r="A617" s="104"/>
      <c r="D617" s="136"/>
      <c r="F617" s="136"/>
      <c r="H617" s="136"/>
    </row>
    <row r="618">
      <c r="A618" s="104"/>
      <c r="D618" s="136"/>
      <c r="F618" s="136"/>
      <c r="H618" s="136"/>
    </row>
    <row r="619">
      <c r="A619" s="104"/>
      <c r="D619" s="136"/>
      <c r="F619" s="136"/>
      <c r="H619" s="136"/>
    </row>
    <row r="620">
      <c r="A620" s="104"/>
      <c r="D620" s="136"/>
      <c r="F620" s="136"/>
      <c r="H620" s="136"/>
    </row>
    <row r="621">
      <c r="A621" s="104"/>
      <c r="D621" s="136"/>
      <c r="F621" s="136"/>
      <c r="H621" s="136"/>
    </row>
    <row r="622">
      <c r="A622" s="104"/>
      <c r="D622" s="136"/>
      <c r="F622" s="136"/>
      <c r="H622" s="136"/>
    </row>
    <row r="623">
      <c r="A623" s="104"/>
      <c r="D623" s="136"/>
      <c r="F623" s="136"/>
      <c r="H623" s="136"/>
    </row>
    <row r="624">
      <c r="A624" s="104"/>
      <c r="D624" s="136"/>
      <c r="F624" s="136"/>
      <c r="H624" s="136"/>
    </row>
    <row r="625">
      <c r="A625" s="104"/>
      <c r="D625" s="136"/>
      <c r="F625" s="136"/>
      <c r="H625" s="136"/>
    </row>
    <row r="626">
      <c r="A626" s="104"/>
      <c r="D626" s="136"/>
      <c r="F626" s="136"/>
      <c r="H626" s="136"/>
    </row>
    <row r="627">
      <c r="A627" s="104"/>
      <c r="D627" s="136"/>
      <c r="F627" s="136"/>
      <c r="H627" s="136"/>
    </row>
    <row r="628">
      <c r="A628" s="104"/>
      <c r="D628" s="136"/>
      <c r="F628" s="136"/>
      <c r="H628" s="136"/>
    </row>
    <row r="629">
      <c r="A629" s="104"/>
      <c r="D629" s="136"/>
      <c r="F629" s="136"/>
      <c r="H629" s="136"/>
    </row>
    <row r="630">
      <c r="A630" s="104"/>
      <c r="D630" s="136"/>
      <c r="F630" s="136"/>
      <c r="H630" s="136"/>
    </row>
    <row r="631">
      <c r="A631" s="104"/>
      <c r="D631" s="136"/>
      <c r="F631" s="136"/>
      <c r="H631" s="136"/>
    </row>
    <row r="632">
      <c r="A632" s="104"/>
      <c r="D632" s="136"/>
      <c r="F632" s="136"/>
      <c r="H632" s="136"/>
    </row>
    <row r="633">
      <c r="A633" s="104"/>
      <c r="D633" s="136"/>
      <c r="F633" s="136"/>
      <c r="H633" s="136"/>
    </row>
    <row r="634">
      <c r="A634" s="104"/>
      <c r="D634" s="136"/>
      <c r="F634" s="136"/>
      <c r="H634" s="136"/>
    </row>
    <row r="635">
      <c r="A635" s="104"/>
      <c r="D635" s="136"/>
      <c r="F635" s="136"/>
      <c r="H635" s="136"/>
    </row>
    <row r="636">
      <c r="A636" s="104"/>
      <c r="D636" s="136"/>
      <c r="F636" s="136"/>
      <c r="H636" s="136"/>
    </row>
    <row r="637">
      <c r="A637" s="104"/>
      <c r="D637" s="136"/>
      <c r="F637" s="136"/>
      <c r="H637" s="136"/>
    </row>
    <row r="638">
      <c r="A638" s="104"/>
      <c r="D638" s="136"/>
      <c r="F638" s="136"/>
      <c r="H638" s="136"/>
    </row>
    <row r="639">
      <c r="A639" s="104"/>
      <c r="D639" s="136"/>
      <c r="F639" s="136"/>
      <c r="H639" s="136"/>
    </row>
    <row r="640">
      <c r="A640" s="104"/>
      <c r="D640" s="136"/>
      <c r="F640" s="136"/>
      <c r="H640" s="136"/>
    </row>
    <row r="641">
      <c r="A641" s="104"/>
      <c r="D641" s="136"/>
      <c r="F641" s="136"/>
      <c r="H641" s="136"/>
    </row>
    <row r="642">
      <c r="A642" s="104"/>
      <c r="D642" s="136"/>
      <c r="F642" s="136"/>
      <c r="H642" s="136"/>
    </row>
    <row r="643">
      <c r="A643" s="104"/>
      <c r="D643" s="136"/>
      <c r="F643" s="136"/>
      <c r="H643" s="136"/>
    </row>
    <row r="644">
      <c r="A644" s="104"/>
      <c r="D644" s="136"/>
      <c r="F644" s="136"/>
      <c r="H644" s="136"/>
    </row>
    <row r="645">
      <c r="A645" s="104"/>
      <c r="D645" s="136"/>
      <c r="F645" s="136"/>
      <c r="H645" s="136"/>
    </row>
    <row r="646">
      <c r="A646" s="104"/>
      <c r="D646" s="136"/>
      <c r="F646" s="136"/>
      <c r="H646" s="136"/>
    </row>
    <row r="647">
      <c r="A647" s="104"/>
      <c r="D647" s="136"/>
      <c r="F647" s="136"/>
      <c r="H647" s="136"/>
    </row>
    <row r="648">
      <c r="A648" s="104"/>
      <c r="D648" s="136"/>
      <c r="F648" s="136"/>
      <c r="H648" s="136"/>
    </row>
    <row r="649">
      <c r="A649" s="104"/>
      <c r="D649" s="136"/>
      <c r="F649" s="136"/>
      <c r="H649" s="136"/>
    </row>
    <row r="650">
      <c r="A650" s="104"/>
      <c r="D650" s="136"/>
      <c r="F650" s="136"/>
      <c r="H650" s="136"/>
    </row>
    <row r="651">
      <c r="A651" s="104"/>
      <c r="D651" s="136"/>
      <c r="F651" s="136"/>
      <c r="H651" s="136"/>
    </row>
    <row r="652">
      <c r="A652" s="104"/>
      <c r="D652" s="136"/>
      <c r="F652" s="136"/>
      <c r="H652" s="136"/>
    </row>
    <row r="653">
      <c r="A653" s="104"/>
      <c r="D653" s="136"/>
      <c r="F653" s="136"/>
      <c r="H653" s="136"/>
    </row>
    <row r="654">
      <c r="A654" s="104"/>
      <c r="D654" s="136"/>
      <c r="F654" s="136"/>
      <c r="H654" s="136"/>
    </row>
    <row r="655">
      <c r="A655" s="104"/>
      <c r="D655" s="136"/>
      <c r="F655" s="136"/>
      <c r="H655" s="136"/>
    </row>
    <row r="656">
      <c r="A656" s="104"/>
      <c r="D656" s="136"/>
      <c r="F656" s="136"/>
      <c r="H656" s="136"/>
    </row>
    <row r="657">
      <c r="A657" s="104"/>
      <c r="D657" s="136"/>
      <c r="F657" s="136"/>
      <c r="H657" s="136"/>
    </row>
    <row r="658">
      <c r="A658" s="104"/>
      <c r="D658" s="136"/>
      <c r="F658" s="136"/>
      <c r="H658" s="136"/>
    </row>
    <row r="659">
      <c r="A659" s="104"/>
      <c r="D659" s="136"/>
      <c r="F659" s="136"/>
      <c r="H659" s="136"/>
    </row>
    <row r="660">
      <c r="A660" s="104"/>
      <c r="D660" s="136"/>
      <c r="F660" s="136"/>
      <c r="H660" s="136"/>
    </row>
    <row r="661">
      <c r="A661" s="104"/>
      <c r="D661" s="136"/>
      <c r="F661" s="136"/>
      <c r="H661" s="136"/>
    </row>
    <row r="662">
      <c r="A662" s="104"/>
      <c r="D662" s="136"/>
      <c r="F662" s="136"/>
      <c r="H662" s="136"/>
    </row>
    <row r="663">
      <c r="A663" s="104"/>
      <c r="D663" s="136"/>
      <c r="F663" s="136"/>
      <c r="H663" s="136"/>
    </row>
    <row r="664">
      <c r="A664" s="104"/>
      <c r="D664" s="136"/>
      <c r="F664" s="136"/>
      <c r="H664" s="136"/>
    </row>
    <row r="665">
      <c r="A665" s="104"/>
      <c r="D665" s="136"/>
      <c r="F665" s="136"/>
      <c r="H665" s="136"/>
    </row>
    <row r="666">
      <c r="A666" s="104"/>
      <c r="D666" s="136"/>
      <c r="F666" s="136"/>
      <c r="H666" s="136"/>
    </row>
    <row r="667">
      <c r="A667" s="104"/>
      <c r="D667" s="136"/>
      <c r="F667" s="136"/>
      <c r="H667" s="136"/>
    </row>
    <row r="668">
      <c r="A668" s="104"/>
      <c r="D668" s="136"/>
      <c r="F668" s="136"/>
      <c r="H668" s="136"/>
    </row>
    <row r="669">
      <c r="A669" s="104"/>
      <c r="D669" s="136"/>
      <c r="F669" s="136"/>
      <c r="H669" s="136"/>
    </row>
    <row r="670">
      <c r="A670" s="104"/>
      <c r="D670" s="136"/>
      <c r="F670" s="136"/>
      <c r="H670" s="136"/>
    </row>
    <row r="671">
      <c r="A671" s="104"/>
      <c r="D671" s="136"/>
      <c r="F671" s="136"/>
      <c r="H671" s="136"/>
    </row>
    <row r="672">
      <c r="A672" s="104"/>
      <c r="D672" s="136"/>
      <c r="F672" s="136"/>
      <c r="H672" s="136"/>
    </row>
    <row r="673">
      <c r="A673" s="104"/>
      <c r="D673" s="136"/>
      <c r="F673" s="136"/>
      <c r="H673" s="136"/>
    </row>
    <row r="674">
      <c r="A674" s="104"/>
      <c r="D674" s="136"/>
      <c r="F674" s="136"/>
      <c r="H674" s="136"/>
    </row>
    <row r="675">
      <c r="A675" s="104"/>
      <c r="D675" s="136"/>
      <c r="F675" s="136"/>
      <c r="H675" s="136"/>
    </row>
    <row r="676">
      <c r="A676" s="104"/>
      <c r="D676" s="136"/>
      <c r="F676" s="136"/>
      <c r="H676" s="136"/>
    </row>
    <row r="677">
      <c r="A677" s="104"/>
      <c r="D677" s="136"/>
      <c r="F677" s="136"/>
      <c r="H677" s="136"/>
    </row>
    <row r="678">
      <c r="A678" s="104"/>
      <c r="D678" s="136"/>
      <c r="F678" s="136"/>
      <c r="H678" s="136"/>
    </row>
    <row r="679">
      <c r="A679" s="104"/>
      <c r="D679" s="136"/>
      <c r="F679" s="136"/>
      <c r="H679" s="136"/>
    </row>
    <row r="680">
      <c r="A680" s="104"/>
      <c r="D680" s="136"/>
      <c r="F680" s="136"/>
      <c r="H680" s="136"/>
    </row>
    <row r="681">
      <c r="A681" s="104"/>
      <c r="D681" s="136"/>
      <c r="F681" s="136"/>
      <c r="H681" s="136"/>
    </row>
    <row r="682">
      <c r="A682" s="104"/>
      <c r="D682" s="136"/>
      <c r="F682" s="136"/>
      <c r="H682" s="136"/>
    </row>
    <row r="683">
      <c r="A683" s="104"/>
      <c r="D683" s="136"/>
      <c r="F683" s="136"/>
      <c r="H683" s="136"/>
    </row>
    <row r="684">
      <c r="A684" s="104"/>
      <c r="D684" s="136"/>
      <c r="F684" s="136"/>
      <c r="H684" s="136"/>
    </row>
    <row r="685">
      <c r="A685" s="104"/>
      <c r="D685" s="136"/>
      <c r="F685" s="136"/>
      <c r="H685" s="136"/>
    </row>
    <row r="686">
      <c r="A686" s="104"/>
      <c r="D686" s="136"/>
      <c r="F686" s="136"/>
      <c r="H686" s="136"/>
    </row>
    <row r="687">
      <c r="A687" s="104"/>
      <c r="D687" s="136"/>
      <c r="F687" s="136"/>
      <c r="H687" s="136"/>
    </row>
    <row r="688">
      <c r="A688" s="104"/>
      <c r="D688" s="136"/>
      <c r="F688" s="136"/>
      <c r="H688" s="136"/>
    </row>
    <row r="689">
      <c r="A689" s="104"/>
      <c r="D689" s="136"/>
      <c r="F689" s="136"/>
      <c r="H689" s="136"/>
    </row>
    <row r="690">
      <c r="A690" s="104"/>
      <c r="D690" s="136"/>
      <c r="F690" s="136"/>
      <c r="H690" s="136"/>
    </row>
    <row r="691">
      <c r="A691" s="104"/>
      <c r="D691" s="136"/>
      <c r="F691" s="136"/>
      <c r="H691" s="136"/>
    </row>
    <row r="692">
      <c r="A692" s="104"/>
      <c r="D692" s="136"/>
      <c r="F692" s="136"/>
      <c r="H692" s="136"/>
    </row>
    <row r="693">
      <c r="A693" s="104"/>
      <c r="D693" s="136"/>
      <c r="F693" s="136"/>
      <c r="H693" s="136"/>
    </row>
    <row r="694">
      <c r="A694" s="104"/>
      <c r="D694" s="136"/>
      <c r="F694" s="136"/>
      <c r="H694" s="136"/>
    </row>
    <row r="695">
      <c r="A695" s="104"/>
      <c r="D695" s="136"/>
      <c r="F695" s="136"/>
      <c r="H695" s="136"/>
    </row>
    <row r="696">
      <c r="A696" s="104"/>
      <c r="D696" s="136"/>
      <c r="F696" s="136"/>
      <c r="H696" s="136"/>
    </row>
    <row r="697">
      <c r="A697" s="104"/>
      <c r="D697" s="136"/>
      <c r="F697" s="136"/>
      <c r="H697" s="136"/>
    </row>
    <row r="698">
      <c r="A698" s="104"/>
      <c r="D698" s="136"/>
      <c r="F698" s="136"/>
      <c r="H698" s="136"/>
    </row>
    <row r="699">
      <c r="A699" s="104"/>
      <c r="D699" s="136"/>
      <c r="F699" s="136"/>
      <c r="H699" s="136"/>
    </row>
    <row r="700">
      <c r="A700" s="104"/>
      <c r="D700" s="136"/>
      <c r="F700" s="136"/>
      <c r="H700" s="136"/>
    </row>
    <row r="701">
      <c r="A701" s="104"/>
      <c r="D701" s="136"/>
      <c r="F701" s="136"/>
      <c r="H701" s="136"/>
    </row>
    <row r="702">
      <c r="A702" s="104"/>
      <c r="D702" s="136"/>
      <c r="F702" s="136"/>
      <c r="H702" s="136"/>
    </row>
    <row r="703">
      <c r="A703" s="104"/>
      <c r="D703" s="136"/>
      <c r="F703" s="136"/>
      <c r="H703" s="136"/>
    </row>
    <row r="704">
      <c r="A704" s="104"/>
      <c r="D704" s="136"/>
      <c r="F704" s="136"/>
      <c r="H704" s="136"/>
    </row>
    <row r="705">
      <c r="A705" s="104"/>
      <c r="D705" s="136"/>
      <c r="F705" s="136"/>
      <c r="H705" s="136"/>
    </row>
    <row r="706">
      <c r="A706" s="104"/>
      <c r="D706" s="136"/>
      <c r="F706" s="136"/>
      <c r="H706" s="136"/>
    </row>
    <row r="707">
      <c r="A707" s="104"/>
      <c r="D707" s="136"/>
      <c r="F707" s="136"/>
      <c r="H707" s="136"/>
    </row>
    <row r="708">
      <c r="A708" s="104"/>
      <c r="D708" s="136"/>
      <c r="F708" s="136"/>
      <c r="H708" s="136"/>
    </row>
    <row r="709">
      <c r="A709" s="104"/>
      <c r="D709" s="136"/>
      <c r="F709" s="136"/>
      <c r="H709" s="136"/>
    </row>
    <row r="710">
      <c r="A710" s="104"/>
      <c r="D710" s="136"/>
      <c r="F710" s="136"/>
      <c r="H710" s="136"/>
    </row>
    <row r="711">
      <c r="A711" s="104"/>
      <c r="D711" s="136"/>
      <c r="F711" s="136"/>
      <c r="H711" s="136"/>
    </row>
    <row r="712">
      <c r="A712" s="104"/>
      <c r="D712" s="136"/>
      <c r="F712" s="136"/>
      <c r="H712" s="136"/>
    </row>
    <row r="713">
      <c r="A713" s="104"/>
      <c r="D713" s="136"/>
      <c r="F713" s="136"/>
      <c r="H713" s="136"/>
    </row>
    <row r="714">
      <c r="A714" s="104"/>
      <c r="D714" s="136"/>
      <c r="F714" s="136"/>
      <c r="H714" s="136"/>
    </row>
    <row r="715">
      <c r="A715" s="104"/>
      <c r="D715" s="136"/>
      <c r="F715" s="136"/>
      <c r="H715" s="136"/>
    </row>
    <row r="716">
      <c r="A716" s="104"/>
      <c r="D716" s="136"/>
      <c r="F716" s="136"/>
      <c r="H716" s="136"/>
    </row>
    <row r="717">
      <c r="A717" s="104"/>
      <c r="D717" s="136"/>
      <c r="F717" s="136"/>
      <c r="H717" s="136"/>
    </row>
    <row r="718">
      <c r="A718" s="104"/>
      <c r="D718" s="136"/>
      <c r="F718" s="136"/>
      <c r="H718" s="136"/>
    </row>
    <row r="719">
      <c r="A719" s="104"/>
      <c r="D719" s="136"/>
      <c r="F719" s="136"/>
      <c r="H719" s="136"/>
    </row>
    <row r="720">
      <c r="A720" s="104"/>
      <c r="D720" s="136"/>
      <c r="F720" s="136"/>
      <c r="H720" s="136"/>
    </row>
    <row r="721">
      <c r="A721" s="104"/>
      <c r="D721" s="136"/>
      <c r="F721" s="136"/>
      <c r="H721" s="136"/>
    </row>
    <row r="722">
      <c r="A722" s="104"/>
      <c r="D722" s="136"/>
      <c r="F722" s="136"/>
      <c r="H722" s="136"/>
    </row>
    <row r="723">
      <c r="A723" s="104"/>
      <c r="D723" s="136"/>
      <c r="F723" s="136"/>
      <c r="H723" s="136"/>
    </row>
    <row r="724">
      <c r="A724" s="104"/>
      <c r="D724" s="136"/>
      <c r="F724" s="136"/>
      <c r="H724" s="136"/>
    </row>
    <row r="725">
      <c r="A725" s="104"/>
      <c r="D725" s="136"/>
      <c r="F725" s="136"/>
      <c r="H725" s="136"/>
    </row>
    <row r="726">
      <c r="A726" s="104"/>
      <c r="D726" s="136"/>
      <c r="F726" s="136"/>
      <c r="H726" s="136"/>
    </row>
    <row r="727">
      <c r="A727" s="104"/>
      <c r="D727" s="136"/>
      <c r="F727" s="136"/>
      <c r="H727" s="136"/>
    </row>
    <row r="728">
      <c r="A728" s="104"/>
      <c r="D728" s="136"/>
      <c r="F728" s="136"/>
      <c r="H728" s="136"/>
    </row>
    <row r="729">
      <c r="A729" s="104"/>
      <c r="D729" s="136"/>
      <c r="F729" s="136"/>
      <c r="H729" s="136"/>
    </row>
    <row r="730">
      <c r="A730" s="104"/>
      <c r="D730" s="136"/>
      <c r="F730" s="136"/>
      <c r="H730" s="136"/>
    </row>
    <row r="731">
      <c r="A731" s="104"/>
      <c r="D731" s="136"/>
      <c r="F731" s="136"/>
      <c r="H731" s="136"/>
    </row>
    <row r="732">
      <c r="A732" s="104"/>
      <c r="D732" s="136"/>
      <c r="F732" s="136"/>
      <c r="H732" s="136"/>
    </row>
    <row r="733">
      <c r="A733" s="104"/>
      <c r="D733" s="136"/>
      <c r="F733" s="136"/>
      <c r="H733" s="136"/>
    </row>
    <row r="734">
      <c r="A734" s="104"/>
      <c r="D734" s="136"/>
      <c r="F734" s="136"/>
      <c r="H734" s="136"/>
    </row>
    <row r="735">
      <c r="A735" s="104"/>
      <c r="D735" s="136"/>
      <c r="F735" s="136"/>
      <c r="H735" s="136"/>
    </row>
    <row r="736">
      <c r="A736" s="104"/>
      <c r="D736" s="136"/>
      <c r="F736" s="136"/>
      <c r="H736" s="136"/>
    </row>
    <row r="737">
      <c r="A737" s="104"/>
      <c r="D737" s="136"/>
      <c r="F737" s="136"/>
      <c r="H737" s="136"/>
    </row>
    <row r="738">
      <c r="A738" s="104"/>
      <c r="D738" s="136"/>
      <c r="F738" s="136"/>
      <c r="H738" s="136"/>
    </row>
    <row r="739">
      <c r="A739" s="104"/>
      <c r="D739" s="136"/>
      <c r="F739" s="136"/>
      <c r="H739" s="136"/>
    </row>
    <row r="740">
      <c r="A740" s="104"/>
      <c r="D740" s="136"/>
      <c r="F740" s="136"/>
      <c r="H740" s="136"/>
    </row>
    <row r="741">
      <c r="A741" s="104"/>
      <c r="D741" s="136"/>
      <c r="F741" s="136"/>
      <c r="H741" s="136"/>
    </row>
    <row r="742">
      <c r="A742" s="104"/>
      <c r="D742" s="136"/>
      <c r="F742" s="136"/>
      <c r="H742" s="136"/>
    </row>
    <row r="743">
      <c r="A743" s="104"/>
      <c r="D743" s="136"/>
      <c r="F743" s="136"/>
      <c r="H743" s="136"/>
    </row>
    <row r="744">
      <c r="A744" s="104"/>
      <c r="D744" s="136"/>
      <c r="F744" s="136"/>
      <c r="H744" s="136"/>
    </row>
    <row r="745">
      <c r="A745" s="104"/>
      <c r="D745" s="136"/>
      <c r="F745" s="136"/>
      <c r="H745" s="136"/>
    </row>
    <row r="746">
      <c r="A746" s="104"/>
      <c r="D746" s="136"/>
      <c r="F746" s="136"/>
      <c r="H746" s="136"/>
    </row>
    <row r="747">
      <c r="A747" s="104"/>
      <c r="D747" s="136"/>
      <c r="F747" s="136"/>
      <c r="H747" s="136"/>
    </row>
    <row r="748">
      <c r="A748" s="104"/>
      <c r="D748" s="136"/>
      <c r="F748" s="136"/>
      <c r="H748" s="136"/>
    </row>
    <row r="749">
      <c r="A749" s="104"/>
      <c r="D749" s="136"/>
      <c r="F749" s="136"/>
      <c r="H749" s="136"/>
    </row>
    <row r="750">
      <c r="A750" s="104"/>
      <c r="D750" s="136"/>
      <c r="F750" s="136"/>
      <c r="H750" s="136"/>
    </row>
    <row r="751">
      <c r="A751" s="104"/>
      <c r="D751" s="136"/>
      <c r="F751" s="136"/>
      <c r="H751" s="136"/>
    </row>
    <row r="752">
      <c r="A752" s="104"/>
      <c r="D752" s="136"/>
      <c r="F752" s="136"/>
      <c r="H752" s="136"/>
    </row>
    <row r="753">
      <c r="A753" s="104"/>
      <c r="D753" s="136"/>
      <c r="F753" s="136"/>
      <c r="H753" s="136"/>
    </row>
    <row r="754">
      <c r="A754" s="104"/>
      <c r="D754" s="136"/>
      <c r="F754" s="136"/>
      <c r="H754" s="136"/>
    </row>
    <row r="755">
      <c r="A755" s="104"/>
      <c r="D755" s="136"/>
      <c r="F755" s="136"/>
      <c r="H755" s="136"/>
    </row>
    <row r="756">
      <c r="A756" s="104"/>
      <c r="D756" s="136"/>
      <c r="F756" s="136"/>
      <c r="H756" s="136"/>
    </row>
    <row r="757">
      <c r="A757" s="104"/>
      <c r="D757" s="136"/>
      <c r="F757" s="136"/>
      <c r="H757" s="136"/>
    </row>
    <row r="758">
      <c r="A758" s="104"/>
      <c r="D758" s="136"/>
      <c r="F758" s="136"/>
      <c r="H758" s="136"/>
    </row>
    <row r="759">
      <c r="A759" s="104"/>
      <c r="D759" s="136"/>
      <c r="F759" s="136"/>
      <c r="H759" s="136"/>
    </row>
    <row r="760">
      <c r="A760" s="104"/>
      <c r="D760" s="136"/>
      <c r="F760" s="136"/>
      <c r="H760" s="136"/>
    </row>
    <row r="761">
      <c r="A761" s="104"/>
      <c r="D761" s="136"/>
      <c r="F761" s="136"/>
      <c r="H761" s="136"/>
    </row>
    <row r="762">
      <c r="A762" s="104"/>
      <c r="D762" s="136"/>
      <c r="F762" s="136"/>
      <c r="H762" s="136"/>
    </row>
    <row r="763">
      <c r="A763" s="104"/>
      <c r="D763" s="136"/>
      <c r="F763" s="136"/>
      <c r="H763" s="136"/>
    </row>
    <row r="764">
      <c r="A764" s="104"/>
      <c r="D764" s="136"/>
      <c r="F764" s="136"/>
      <c r="H764" s="136"/>
    </row>
    <row r="765">
      <c r="A765" s="104"/>
      <c r="D765" s="136"/>
      <c r="F765" s="136"/>
      <c r="H765" s="136"/>
    </row>
    <row r="766">
      <c r="A766" s="104"/>
      <c r="D766" s="136"/>
      <c r="F766" s="136"/>
      <c r="H766" s="136"/>
    </row>
    <row r="767">
      <c r="A767" s="104"/>
      <c r="D767" s="136"/>
      <c r="F767" s="136"/>
      <c r="H767" s="136"/>
    </row>
    <row r="768">
      <c r="A768" s="104"/>
      <c r="D768" s="136"/>
      <c r="F768" s="136"/>
      <c r="H768" s="136"/>
    </row>
    <row r="769">
      <c r="A769" s="104"/>
      <c r="D769" s="136"/>
      <c r="F769" s="136"/>
      <c r="H769" s="136"/>
    </row>
    <row r="770">
      <c r="A770" s="104"/>
      <c r="D770" s="136"/>
      <c r="F770" s="136"/>
      <c r="H770" s="136"/>
    </row>
    <row r="771">
      <c r="A771" s="104"/>
      <c r="D771" s="136"/>
      <c r="F771" s="136"/>
      <c r="H771" s="136"/>
    </row>
    <row r="772">
      <c r="A772" s="104"/>
      <c r="D772" s="136"/>
      <c r="F772" s="136"/>
      <c r="H772" s="136"/>
    </row>
    <row r="773">
      <c r="A773" s="104"/>
      <c r="D773" s="136"/>
      <c r="F773" s="136"/>
      <c r="H773" s="136"/>
    </row>
    <row r="774">
      <c r="A774" s="104"/>
      <c r="D774" s="136"/>
      <c r="F774" s="136"/>
      <c r="H774" s="136"/>
    </row>
    <row r="775">
      <c r="A775" s="104"/>
      <c r="D775" s="136"/>
      <c r="F775" s="136"/>
      <c r="H775" s="136"/>
    </row>
    <row r="776">
      <c r="A776" s="104"/>
      <c r="D776" s="136"/>
      <c r="F776" s="136"/>
      <c r="H776" s="136"/>
    </row>
    <row r="777">
      <c r="A777" s="104"/>
      <c r="D777" s="136"/>
      <c r="F777" s="136"/>
      <c r="H777" s="136"/>
    </row>
    <row r="778">
      <c r="A778" s="104"/>
      <c r="D778" s="136"/>
      <c r="F778" s="136"/>
      <c r="H778" s="136"/>
    </row>
    <row r="779">
      <c r="A779" s="104"/>
      <c r="D779" s="136"/>
      <c r="F779" s="136"/>
      <c r="H779" s="136"/>
    </row>
    <row r="780">
      <c r="A780" s="104"/>
      <c r="D780" s="136"/>
      <c r="F780" s="136"/>
      <c r="H780" s="136"/>
    </row>
    <row r="781">
      <c r="A781" s="104"/>
      <c r="D781" s="136"/>
      <c r="F781" s="136"/>
      <c r="H781" s="136"/>
    </row>
    <row r="782">
      <c r="A782" s="104"/>
      <c r="D782" s="136"/>
      <c r="F782" s="136"/>
      <c r="H782" s="136"/>
    </row>
    <row r="783">
      <c r="A783" s="104"/>
      <c r="D783" s="136"/>
      <c r="F783" s="136"/>
      <c r="H783" s="136"/>
    </row>
    <row r="784">
      <c r="A784" s="104"/>
      <c r="D784" s="136"/>
      <c r="F784" s="136"/>
      <c r="H784" s="136"/>
    </row>
    <row r="785">
      <c r="A785" s="104"/>
      <c r="D785" s="136"/>
      <c r="F785" s="136"/>
      <c r="H785" s="136"/>
    </row>
    <row r="786">
      <c r="A786" s="104"/>
      <c r="D786" s="136"/>
      <c r="F786" s="136"/>
      <c r="H786" s="136"/>
    </row>
    <row r="787">
      <c r="A787" s="104"/>
      <c r="D787" s="136"/>
      <c r="F787" s="136"/>
      <c r="H787" s="136"/>
    </row>
    <row r="788">
      <c r="A788" s="104"/>
      <c r="D788" s="136"/>
      <c r="F788" s="136"/>
      <c r="H788" s="136"/>
    </row>
    <row r="789">
      <c r="A789" s="104"/>
      <c r="D789" s="136"/>
      <c r="F789" s="136"/>
      <c r="H789" s="136"/>
    </row>
    <row r="790">
      <c r="A790" s="104"/>
      <c r="D790" s="136"/>
      <c r="F790" s="136"/>
      <c r="H790" s="136"/>
    </row>
    <row r="791">
      <c r="A791" s="104"/>
      <c r="D791" s="136"/>
      <c r="F791" s="136"/>
      <c r="H791" s="136"/>
    </row>
    <row r="792">
      <c r="A792" s="104"/>
      <c r="D792" s="136"/>
      <c r="F792" s="136"/>
      <c r="H792" s="136"/>
    </row>
    <row r="793">
      <c r="A793" s="104"/>
      <c r="D793" s="136"/>
      <c r="F793" s="136"/>
      <c r="H793" s="136"/>
    </row>
    <row r="794">
      <c r="A794" s="104"/>
      <c r="D794" s="136"/>
      <c r="F794" s="136"/>
      <c r="H794" s="136"/>
    </row>
    <row r="795">
      <c r="A795" s="104"/>
      <c r="D795" s="136"/>
      <c r="F795" s="136"/>
      <c r="H795" s="136"/>
    </row>
    <row r="796">
      <c r="A796" s="104"/>
      <c r="D796" s="136"/>
      <c r="F796" s="136"/>
      <c r="H796" s="136"/>
    </row>
    <row r="797">
      <c r="A797" s="104"/>
      <c r="D797" s="136"/>
      <c r="F797" s="136"/>
      <c r="H797" s="136"/>
    </row>
    <row r="798">
      <c r="A798" s="104"/>
      <c r="D798" s="136"/>
      <c r="F798" s="136"/>
      <c r="H798" s="136"/>
    </row>
    <row r="799">
      <c r="A799" s="104"/>
      <c r="D799" s="136"/>
      <c r="F799" s="136"/>
      <c r="H799" s="136"/>
    </row>
    <row r="800">
      <c r="A800" s="104"/>
      <c r="D800" s="136"/>
      <c r="F800" s="136"/>
      <c r="H800" s="136"/>
    </row>
    <row r="801">
      <c r="A801" s="104"/>
      <c r="D801" s="136"/>
      <c r="F801" s="136"/>
      <c r="H801" s="136"/>
    </row>
    <row r="802">
      <c r="A802" s="104"/>
      <c r="D802" s="136"/>
      <c r="F802" s="136"/>
      <c r="H802" s="136"/>
    </row>
    <row r="803">
      <c r="A803" s="104"/>
      <c r="D803" s="136"/>
      <c r="F803" s="136"/>
      <c r="H803" s="136"/>
    </row>
    <row r="804">
      <c r="A804" s="104"/>
      <c r="D804" s="136"/>
      <c r="F804" s="136"/>
      <c r="H804" s="136"/>
    </row>
    <row r="805">
      <c r="A805" s="104"/>
      <c r="D805" s="136"/>
      <c r="F805" s="136"/>
      <c r="H805" s="136"/>
    </row>
    <row r="806">
      <c r="A806" s="104"/>
      <c r="D806" s="136"/>
      <c r="F806" s="136"/>
      <c r="H806" s="136"/>
    </row>
    <row r="807">
      <c r="A807" s="104"/>
      <c r="D807" s="136"/>
      <c r="F807" s="136"/>
      <c r="H807" s="136"/>
    </row>
    <row r="808">
      <c r="A808" s="104"/>
      <c r="D808" s="136"/>
      <c r="F808" s="136"/>
      <c r="H808" s="136"/>
    </row>
    <row r="809">
      <c r="A809" s="104"/>
      <c r="D809" s="136"/>
      <c r="F809" s="136"/>
      <c r="H809" s="136"/>
    </row>
    <row r="810">
      <c r="A810" s="104"/>
      <c r="D810" s="136"/>
      <c r="F810" s="136"/>
      <c r="H810" s="136"/>
    </row>
    <row r="811">
      <c r="A811" s="104"/>
      <c r="D811" s="136"/>
      <c r="F811" s="136"/>
      <c r="H811" s="136"/>
    </row>
    <row r="812">
      <c r="A812" s="104"/>
      <c r="D812" s="136"/>
      <c r="F812" s="136"/>
      <c r="H812" s="136"/>
    </row>
    <row r="813">
      <c r="A813" s="104"/>
      <c r="D813" s="136"/>
      <c r="F813" s="136"/>
      <c r="H813" s="136"/>
    </row>
    <row r="814">
      <c r="A814" s="104"/>
      <c r="D814" s="136"/>
      <c r="F814" s="136"/>
      <c r="H814" s="136"/>
    </row>
    <row r="815">
      <c r="A815" s="104"/>
      <c r="D815" s="136"/>
      <c r="F815" s="136"/>
      <c r="H815" s="136"/>
    </row>
    <row r="816">
      <c r="A816" s="104"/>
      <c r="D816" s="136"/>
      <c r="F816" s="136"/>
      <c r="H816" s="136"/>
    </row>
    <row r="817">
      <c r="A817" s="104"/>
      <c r="D817" s="136"/>
      <c r="F817" s="136"/>
      <c r="H817" s="136"/>
    </row>
    <row r="818">
      <c r="A818" s="104"/>
      <c r="D818" s="136"/>
      <c r="F818" s="136"/>
      <c r="H818" s="136"/>
    </row>
    <row r="819">
      <c r="A819" s="104"/>
      <c r="D819" s="136"/>
      <c r="F819" s="136"/>
      <c r="H819" s="136"/>
    </row>
    <row r="820">
      <c r="A820" s="104"/>
      <c r="D820" s="136"/>
      <c r="F820" s="136"/>
      <c r="H820" s="136"/>
    </row>
    <row r="821">
      <c r="A821" s="104"/>
      <c r="D821" s="136"/>
      <c r="F821" s="136"/>
      <c r="H821" s="136"/>
    </row>
    <row r="822">
      <c r="A822" s="104"/>
      <c r="D822" s="136"/>
      <c r="F822" s="136"/>
      <c r="H822" s="136"/>
    </row>
    <row r="823">
      <c r="A823" s="104"/>
      <c r="D823" s="136"/>
      <c r="F823" s="136"/>
      <c r="H823" s="136"/>
    </row>
    <row r="824">
      <c r="A824" s="104"/>
      <c r="D824" s="136"/>
      <c r="F824" s="136"/>
      <c r="H824" s="136"/>
    </row>
    <row r="825">
      <c r="A825" s="104"/>
      <c r="D825" s="136"/>
      <c r="F825" s="136"/>
      <c r="H825" s="136"/>
    </row>
    <row r="826">
      <c r="A826" s="104"/>
      <c r="D826" s="136"/>
      <c r="F826" s="136"/>
      <c r="H826" s="136"/>
    </row>
    <row r="827">
      <c r="A827" s="104"/>
      <c r="D827" s="136"/>
      <c r="F827" s="136"/>
      <c r="H827" s="136"/>
    </row>
    <row r="828">
      <c r="A828" s="104"/>
      <c r="D828" s="136"/>
      <c r="F828" s="136"/>
      <c r="H828" s="136"/>
    </row>
    <row r="829">
      <c r="A829" s="104"/>
      <c r="D829" s="136"/>
      <c r="F829" s="136"/>
      <c r="H829" s="136"/>
    </row>
    <row r="830">
      <c r="A830" s="104"/>
      <c r="D830" s="136"/>
      <c r="F830" s="136"/>
      <c r="H830" s="136"/>
    </row>
    <row r="831">
      <c r="A831" s="104"/>
      <c r="D831" s="136"/>
      <c r="F831" s="136"/>
      <c r="H831" s="136"/>
    </row>
    <row r="832">
      <c r="A832" s="104"/>
      <c r="D832" s="136"/>
      <c r="F832" s="136"/>
      <c r="H832" s="136"/>
    </row>
    <row r="833">
      <c r="A833" s="104"/>
      <c r="D833" s="136"/>
      <c r="F833" s="136"/>
      <c r="H833" s="136"/>
    </row>
    <row r="834">
      <c r="A834" s="104"/>
      <c r="D834" s="136"/>
      <c r="F834" s="136"/>
      <c r="H834" s="136"/>
    </row>
    <row r="835">
      <c r="A835" s="104"/>
      <c r="D835" s="136"/>
      <c r="F835" s="136"/>
      <c r="H835" s="136"/>
    </row>
    <row r="836">
      <c r="A836" s="104"/>
      <c r="D836" s="136"/>
      <c r="F836" s="136"/>
      <c r="H836" s="136"/>
    </row>
    <row r="837">
      <c r="A837" s="104"/>
      <c r="D837" s="136"/>
      <c r="F837" s="136"/>
      <c r="H837" s="136"/>
    </row>
    <row r="838">
      <c r="A838" s="104"/>
      <c r="D838" s="136"/>
      <c r="F838" s="136"/>
      <c r="H838" s="136"/>
    </row>
    <row r="839">
      <c r="A839" s="104"/>
      <c r="D839" s="136"/>
      <c r="F839" s="136"/>
      <c r="H839" s="136"/>
    </row>
    <row r="840">
      <c r="A840" s="104"/>
      <c r="D840" s="136"/>
      <c r="F840" s="136"/>
      <c r="H840" s="136"/>
    </row>
    <row r="841">
      <c r="A841" s="104"/>
      <c r="D841" s="136"/>
      <c r="F841" s="136"/>
      <c r="H841" s="136"/>
    </row>
    <row r="842">
      <c r="A842" s="104"/>
      <c r="D842" s="136"/>
      <c r="F842" s="136"/>
      <c r="H842" s="136"/>
    </row>
    <row r="843">
      <c r="A843" s="104"/>
      <c r="D843" s="136"/>
      <c r="F843" s="136"/>
      <c r="H843" s="136"/>
    </row>
    <row r="844">
      <c r="A844" s="104"/>
      <c r="D844" s="136"/>
      <c r="F844" s="136"/>
      <c r="H844" s="136"/>
    </row>
    <row r="845">
      <c r="A845" s="104"/>
      <c r="D845" s="136"/>
      <c r="F845" s="136"/>
      <c r="H845" s="136"/>
    </row>
    <row r="846">
      <c r="A846" s="104"/>
      <c r="D846" s="136"/>
      <c r="F846" s="136"/>
      <c r="H846" s="136"/>
    </row>
    <row r="847">
      <c r="A847" s="104"/>
      <c r="D847" s="136"/>
      <c r="F847" s="136"/>
      <c r="H847" s="136"/>
    </row>
    <row r="848">
      <c r="A848" s="104"/>
      <c r="D848" s="136"/>
      <c r="F848" s="136"/>
      <c r="H848" s="136"/>
    </row>
    <row r="849">
      <c r="A849" s="104"/>
      <c r="D849" s="136"/>
      <c r="F849" s="136"/>
      <c r="H849" s="136"/>
    </row>
    <row r="850">
      <c r="A850" s="104"/>
      <c r="D850" s="136"/>
      <c r="F850" s="136"/>
      <c r="H850" s="136"/>
    </row>
    <row r="851">
      <c r="A851" s="104"/>
      <c r="D851" s="136"/>
      <c r="F851" s="136"/>
      <c r="H851" s="136"/>
    </row>
    <row r="852">
      <c r="A852" s="104"/>
      <c r="D852" s="136"/>
      <c r="F852" s="136"/>
      <c r="H852" s="136"/>
    </row>
    <row r="853">
      <c r="A853" s="104"/>
      <c r="D853" s="136"/>
      <c r="F853" s="136"/>
      <c r="H853" s="136"/>
    </row>
    <row r="854">
      <c r="A854" s="104"/>
      <c r="D854" s="136"/>
      <c r="F854" s="136"/>
      <c r="H854" s="136"/>
    </row>
    <row r="855">
      <c r="A855" s="104"/>
      <c r="D855" s="136"/>
      <c r="F855" s="136"/>
      <c r="H855" s="136"/>
    </row>
    <row r="856">
      <c r="A856" s="104"/>
      <c r="D856" s="136"/>
      <c r="F856" s="136"/>
      <c r="H856" s="136"/>
    </row>
    <row r="857">
      <c r="A857" s="104"/>
      <c r="D857" s="136"/>
      <c r="F857" s="136"/>
      <c r="H857" s="136"/>
    </row>
    <row r="858">
      <c r="A858" s="104"/>
      <c r="D858" s="136"/>
      <c r="F858" s="136"/>
      <c r="H858" s="136"/>
    </row>
    <row r="859">
      <c r="A859" s="104"/>
      <c r="D859" s="136"/>
      <c r="F859" s="136"/>
      <c r="H859" s="136"/>
    </row>
    <row r="860">
      <c r="A860" s="104"/>
      <c r="D860" s="136"/>
      <c r="F860" s="136"/>
      <c r="H860" s="136"/>
    </row>
    <row r="861">
      <c r="A861" s="104"/>
      <c r="D861" s="136"/>
      <c r="F861" s="136"/>
      <c r="H861" s="136"/>
    </row>
    <row r="862">
      <c r="A862" s="104"/>
      <c r="D862" s="136"/>
      <c r="F862" s="136"/>
      <c r="H862" s="136"/>
    </row>
    <row r="863">
      <c r="A863" s="104"/>
      <c r="D863" s="136"/>
      <c r="F863" s="136"/>
      <c r="H863" s="136"/>
    </row>
    <row r="864">
      <c r="A864" s="104"/>
      <c r="D864" s="136"/>
      <c r="F864" s="136"/>
      <c r="H864" s="136"/>
    </row>
    <row r="865">
      <c r="A865" s="104"/>
      <c r="D865" s="136"/>
      <c r="F865" s="136"/>
      <c r="H865" s="136"/>
    </row>
    <row r="866">
      <c r="A866" s="104"/>
      <c r="D866" s="136"/>
      <c r="F866" s="136"/>
      <c r="H866" s="136"/>
    </row>
    <row r="867">
      <c r="A867" s="104"/>
      <c r="D867" s="136"/>
      <c r="F867" s="136"/>
      <c r="H867" s="136"/>
    </row>
    <row r="868">
      <c r="A868" s="104"/>
      <c r="D868" s="136"/>
      <c r="F868" s="136"/>
      <c r="H868" s="136"/>
    </row>
    <row r="869">
      <c r="A869" s="104"/>
      <c r="D869" s="136"/>
      <c r="F869" s="136"/>
      <c r="H869" s="136"/>
    </row>
    <row r="870">
      <c r="A870" s="104"/>
      <c r="D870" s="136"/>
      <c r="F870" s="136"/>
      <c r="H870" s="136"/>
    </row>
    <row r="871">
      <c r="A871" s="104"/>
      <c r="D871" s="136"/>
      <c r="F871" s="136"/>
      <c r="H871" s="136"/>
    </row>
    <row r="872">
      <c r="A872" s="104"/>
      <c r="D872" s="136"/>
      <c r="F872" s="136"/>
      <c r="H872" s="136"/>
    </row>
    <row r="873">
      <c r="A873" s="104"/>
      <c r="D873" s="136"/>
      <c r="F873" s="136"/>
      <c r="H873" s="136"/>
    </row>
    <row r="874">
      <c r="A874" s="104"/>
      <c r="D874" s="136"/>
      <c r="F874" s="136"/>
      <c r="H874" s="136"/>
    </row>
    <row r="875">
      <c r="A875" s="104"/>
      <c r="D875" s="136"/>
      <c r="F875" s="136"/>
      <c r="H875" s="136"/>
    </row>
    <row r="876">
      <c r="A876" s="104"/>
      <c r="D876" s="136"/>
      <c r="F876" s="136"/>
      <c r="H876" s="136"/>
    </row>
    <row r="877">
      <c r="A877" s="104"/>
      <c r="D877" s="136"/>
      <c r="F877" s="136"/>
      <c r="H877" s="136"/>
    </row>
    <row r="878">
      <c r="A878" s="104"/>
      <c r="D878" s="136"/>
      <c r="F878" s="136"/>
      <c r="H878" s="136"/>
    </row>
    <row r="879">
      <c r="A879" s="104"/>
      <c r="D879" s="136"/>
      <c r="F879" s="136"/>
      <c r="H879" s="136"/>
    </row>
    <row r="880">
      <c r="A880" s="104"/>
      <c r="D880" s="136"/>
      <c r="F880" s="136"/>
      <c r="H880" s="136"/>
    </row>
    <row r="881">
      <c r="A881" s="104"/>
      <c r="D881" s="136"/>
      <c r="F881" s="136"/>
      <c r="H881" s="136"/>
    </row>
    <row r="882">
      <c r="A882" s="104"/>
      <c r="D882" s="136"/>
      <c r="F882" s="136"/>
      <c r="H882" s="136"/>
    </row>
    <row r="883">
      <c r="A883" s="104"/>
      <c r="D883" s="136"/>
      <c r="F883" s="136"/>
      <c r="H883" s="136"/>
    </row>
    <row r="884">
      <c r="A884" s="104"/>
      <c r="D884" s="136"/>
      <c r="F884" s="136"/>
      <c r="H884" s="136"/>
    </row>
    <row r="885">
      <c r="A885" s="104"/>
      <c r="D885" s="136"/>
      <c r="F885" s="136"/>
      <c r="H885" s="136"/>
    </row>
    <row r="886">
      <c r="A886" s="104"/>
      <c r="D886" s="136"/>
      <c r="F886" s="136"/>
      <c r="H886" s="136"/>
    </row>
    <row r="887">
      <c r="A887" s="104"/>
      <c r="D887" s="136"/>
      <c r="F887" s="136"/>
      <c r="H887" s="136"/>
    </row>
    <row r="888">
      <c r="A888" s="104"/>
      <c r="D888" s="136"/>
      <c r="F888" s="136"/>
      <c r="H888" s="136"/>
    </row>
    <row r="889">
      <c r="A889" s="104"/>
      <c r="D889" s="136"/>
      <c r="F889" s="136"/>
      <c r="H889" s="136"/>
    </row>
    <row r="890">
      <c r="A890" s="104"/>
      <c r="D890" s="136"/>
      <c r="F890" s="136"/>
      <c r="H890" s="136"/>
    </row>
    <row r="891">
      <c r="A891" s="104"/>
      <c r="D891" s="136"/>
      <c r="F891" s="136"/>
      <c r="H891" s="136"/>
    </row>
    <row r="892">
      <c r="A892" s="104"/>
      <c r="D892" s="136"/>
      <c r="F892" s="136"/>
      <c r="H892" s="136"/>
    </row>
    <row r="893">
      <c r="A893" s="104"/>
      <c r="D893" s="136"/>
      <c r="F893" s="136"/>
      <c r="H893" s="136"/>
    </row>
    <row r="894">
      <c r="A894" s="104"/>
      <c r="D894" s="136"/>
      <c r="F894" s="136"/>
      <c r="H894" s="136"/>
    </row>
    <row r="895">
      <c r="A895" s="104"/>
      <c r="D895" s="136"/>
      <c r="F895" s="136"/>
      <c r="H895" s="136"/>
    </row>
    <row r="896">
      <c r="A896" s="104"/>
      <c r="D896" s="136"/>
      <c r="F896" s="136"/>
      <c r="H896" s="136"/>
    </row>
    <row r="897">
      <c r="A897" s="104"/>
      <c r="D897" s="136"/>
      <c r="F897" s="136"/>
      <c r="H897" s="136"/>
    </row>
    <row r="898">
      <c r="A898" s="104"/>
      <c r="D898" s="136"/>
      <c r="F898" s="136"/>
      <c r="H898" s="136"/>
    </row>
    <row r="899">
      <c r="A899" s="104"/>
      <c r="D899" s="136"/>
      <c r="F899" s="136"/>
      <c r="H899" s="136"/>
    </row>
    <row r="900">
      <c r="A900" s="104"/>
      <c r="D900" s="136"/>
      <c r="F900" s="136"/>
      <c r="H900" s="136"/>
    </row>
    <row r="901">
      <c r="A901" s="104"/>
      <c r="D901" s="136"/>
      <c r="F901" s="136"/>
      <c r="H901" s="136"/>
    </row>
    <row r="902">
      <c r="A902" s="104"/>
      <c r="D902" s="136"/>
      <c r="F902" s="136"/>
      <c r="H902" s="136"/>
    </row>
    <row r="903">
      <c r="A903" s="104"/>
      <c r="D903" s="136"/>
      <c r="F903" s="136"/>
      <c r="H903" s="136"/>
    </row>
    <row r="904">
      <c r="A904" s="104"/>
      <c r="D904" s="136"/>
      <c r="F904" s="136"/>
      <c r="H904" s="136"/>
    </row>
    <row r="905">
      <c r="A905" s="104"/>
      <c r="D905" s="136"/>
      <c r="F905" s="136"/>
      <c r="H905" s="136"/>
    </row>
    <row r="906">
      <c r="A906" s="104"/>
      <c r="D906" s="136"/>
      <c r="F906" s="136"/>
      <c r="H906" s="136"/>
    </row>
    <row r="907">
      <c r="A907" s="104"/>
      <c r="D907" s="136"/>
      <c r="F907" s="136"/>
      <c r="H907" s="136"/>
    </row>
    <row r="908">
      <c r="A908" s="104"/>
      <c r="D908" s="136"/>
      <c r="F908" s="136"/>
      <c r="H908" s="136"/>
    </row>
    <row r="909">
      <c r="A909" s="104"/>
      <c r="D909" s="136"/>
      <c r="F909" s="136"/>
      <c r="H909" s="136"/>
    </row>
    <row r="910">
      <c r="A910" s="104"/>
      <c r="D910" s="136"/>
      <c r="F910" s="136"/>
      <c r="H910" s="136"/>
    </row>
    <row r="911">
      <c r="A911" s="104"/>
      <c r="D911" s="136"/>
      <c r="F911" s="136"/>
      <c r="H911" s="136"/>
    </row>
    <row r="912">
      <c r="A912" s="104"/>
      <c r="D912" s="136"/>
      <c r="F912" s="136"/>
      <c r="H912" s="136"/>
    </row>
    <row r="913">
      <c r="A913" s="104"/>
      <c r="D913" s="136"/>
      <c r="F913" s="136"/>
      <c r="H913" s="136"/>
    </row>
    <row r="914">
      <c r="A914" s="104"/>
      <c r="D914" s="136"/>
      <c r="F914" s="136"/>
      <c r="H914" s="136"/>
    </row>
    <row r="915">
      <c r="A915" s="104"/>
      <c r="D915" s="136"/>
      <c r="F915" s="136"/>
      <c r="H915" s="136"/>
    </row>
    <row r="916">
      <c r="A916" s="104"/>
      <c r="D916" s="136"/>
      <c r="F916" s="136"/>
      <c r="H916" s="136"/>
    </row>
    <row r="917">
      <c r="A917" s="104"/>
      <c r="D917" s="136"/>
      <c r="F917" s="136"/>
      <c r="H917" s="136"/>
    </row>
    <row r="918">
      <c r="A918" s="104"/>
      <c r="D918" s="136"/>
      <c r="F918" s="136"/>
      <c r="H918" s="136"/>
    </row>
    <row r="919">
      <c r="A919" s="104"/>
      <c r="D919" s="136"/>
      <c r="F919" s="136"/>
      <c r="H919" s="136"/>
    </row>
    <row r="920">
      <c r="A920" s="104"/>
      <c r="D920" s="136"/>
      <c r="F920" s="136"/>
      <c r="H920" s="136"/>
    </row>
    <row r="921">
      <c r="A921" s="104"/>
      <c r="D921" s="136"/>
      <c r="F921" s="136"/>
      <c r="H921" s="136"/>
    </row>
    <row r="922">
      <c r="A922" s="104"/>
      <c r="D922" s="136"/>
      <c r="F922" s="136"/>
      <c r="H922" s="136"/>
    </row>
    <row r="923">
      <c r="A923" s="104"/>
      <c r="D923" s="136"/>
      <c r="F923" s="136"/>
      <c r="H923" s="136"/>
    </row>
    <row r="924">
      <c r="A924" s="104"/>
      <c r="D924" s="136"/>
      <c r="F924" s="136"/>
      <c r="H924" s="136"/>
    </row>
    <row r="925">
      <c r="A925" s="104"/>
      <c r="D925" s="136"/>
      <c r="F925" s="136"/>
      <c r="H925" s="136"/>
    </row>
    <row r="926">
      <c r="A926" s="104"/>
      <c r="D926" s="136"/>
      <c r="F926" s="136"/>
      <c r="H926" s="136"/>
    </row>
    <row r="927">
      <c r="A927" s="104"/>
      <c r="D927" s="136"/>
      <c r="F927" s="136"/>
      <c r="H927" s="136"/>
    </row>
    <row r="928">
      <c r="A928" s="104"/>
      <c r="D928" s="136"/>
      <c r="F928" s="136"/>
      <c r="H928" s="136"/>
    </row>
    <row r="929">
      <c r="A929" s="104"/>
      <c r="D929" s="136"/>
      <c r="F929" s="136"/>
      <c r="H929" s="136"/>
    </row>
    <row r="930">
      <c r="A930" s="104"/>
      <c r="D930" s="136"/>
      <c r="F930" s="136"/>
      <c r="H930" s="136"/>
    </row>
    <row r="931">
      <c r="A931" s="104"/>
      <c r="D931" s="136"/>
      <c r="F931" s="136"/>
      <c r="H931" s="136"/>
    </row>
    <row r="932">
      <c r="A932" s="104"/>
      <c r="D932" s="136"/>
      <c r="F932" s="136"/>
      <c r="H932" s="136"/>
    </row>
    <row r="933">
      <c r="A933" s="104"/>
      <c r="D933" s="136"/>
      <c r="F933" s="136"/>
      <c r="H933" s="136"/>
    </row>
    <row r="934">
      <c r="A934" s="104"/>
      <c r="D934" s="136"/>
      <c r="F934" s="136"/>
      <c r="H934" s="136"/>
    </row>
    <row r="935">
      <c r="A935" s="104"/>
      <c r="D935" s="136"/>
      <c r="F935" s="136"/>
      <c r="H935" s="136"/>
    </row>
    <row r="936">
      <c r="A936" s="104"/>
      <c r="D936" s="136"/>
      <c r="F936" s="136"/>
      <c r="H936" s="136"/>
    </row>
    <row r="937">
      <c r="A937" s="104"/>
      <c r="D937" s="136"/>
      <c r="F937" s="136"/>
      <c r="H937" s="136"/>
    </row>
    <row r="938">
      <c r="A938" s="104"/>
      <c r="D938" s="136"/>
      <c r="F938" s="136"/>
      <c r="H938" s="136"/>
    </row>
    <row r="939">
      <c r="A939" s="104"/>
      <c r="D939" s="136"/>
      <c r="F939" s="136"/>
      <c r="H939" s="136"/>
    </row>
    <row r="940">
      <c r="A940" s="104"/>
      <c r="D940" s="136"/>
      <c r="F940" s="136"/>
      <c r="H940" s="136"/>
    </row>
    <row r="941">
      <c r="A941" s="104"/>
      <c r="D941" s="136"/>
      <c r="F941" s="136"/>
      <c r="H941" s="136"/>
    </row>
    <row r="942">
      <c r="A942" s="104"/>
      <c r="D942" s="136"/>
      <c r="F942" s="136"/>
      <c r="H942" s="136"/>
    </row>
    <row r="943">
      <c r="A943" s="104"/>
      <c r="D943" s="136"/>
      <c r="F943" s="136"/>
      <c r="H943" s="136"/>
    </row>
    <row r="944">
      <c r="A944" s="104"/>
      <c r="D944" s="136"/>
      <c r="F944" s="136"/>
      <c r="H944" s="136"/>
    </row>
    <row r="945">
      <c r="A945" s="104"/>
      <c r="D945" s="136"/>
      <c r="F945" s="136"/>
      <c r="H945" s="136"/>
    </row>
    <row r="946">
      <c r="A946" s="104"/>
      <c r="D946" s="136"/>
      <c r="F946" s="136"/>
      <c r="H946" s="136"/>
    </row>
    <row r="947">
      <c r="A947" s="104"/>
      <c r="D947" s="136"/>
      <c r="F947" s="136"/>
      <c r="H947" s="136"/>
    </row>
    <row r="948">
      <c r="A948" s="104"/>
      <c r="D948" s="136"/>
      <c r="F948" s="136"/>
      <c r="H948" s="136"/>
    </row>
    <row r="949">
      <c r="A949" s="104"/>
      <c r="D949" s="136"/>
      <c r="F949" s="136"/>
      <c r="H949" s="136"/>
    </row>
    <row r="950">
      <c r="A950" s="104"/>
      <c r="D950" s="136"/>
      <c r="F950" s="136"/>
      <c r="H950" s="136"/>
    </row>
    <row r="951">
      <c r="A951" s="104"/>
      <c r="D951" s="136"/>
      <c r="F951" s="136"/>
      <c r="H951" s="136"/>
    </row>
    <row r="952">
      <c r="A952" s="104"/>
      <c r="D952" s="136"/>
      <c r="F952" s="136"/>
      <c r="H952" s="136"/>
    </row>
    <row r="953">
      <c r="A953" s="104"/>
      <c r="D953" s="136"/>
      <c r="F953" s="136"/>
      <c r="H953" s="136"/>
    </row>
    <row r="954">
      <c r="A954" s="104"/>
      <c r="D954" s="136"/>
      <c r="F954" s="136"/>
      <c r="H954" s="136"/>
    </row>
    <row r="955">
      <c r="A955" s="104"/>
      <c r="D955" s="136"/>
      <c r="F955" s="136"/>
      <c r="H955" s="136"/>
    </row>
    <row r="956">
      <c r="A956" s="104"/>
      <c r="D956" s="136"/>
      <c r="F956" s="136"/>
      <c r="H956" s="136"/>
    </row>
    <row r="957">
      <c r="A957" s="104"/>
      <c r="D957" s="136"/>
      <c r="F957" s="136"/>
      <c r="H957" s="136"/>
    </row>
    <row r="958">
      <c r="A958" s="104"/>
      <c r="D958" s="136"/>
      <c r="F958" s="136"/>
      <c r="H958" s="136"/>
    </row>
    <row r="959">
      <c r="A959" s="104"/>
      <c r="D959" s="136"/>
      <c r="F959" s="136"/>
      <c r="H959" s="136"/>
    </row>
    <row r="960">
      <c r="A960" s="104"/>
      <c r="D960" s="136"/>
      <c r="F960" s="136"/>
      <c r="H960" s="136"/>
    </row>
    <row r="961">
      <c r="A961" s="104"/>
      <c r="D961" s="136"/>
      <c r="F961" s="136"/>
      <c r="H961" s="136"/>
    </row>
    <row r="962">
      <c r="A962" s="104"/>
      <c r="D962" s="136"/>
      <c r="F962" s="136"/>
      <c r="H962" s="136"/>
    </row>
    <row r="963">
      <c r="A963" s="104"/>
      <c r="D963" s="136"/>
      <c r="F963" s="136"/>
      <c r="H963" s="136"/>
    </row>
    <row r="964">
      <c r="A964" s="104"/>
      <c r="D964" s="136"/>
      <c r="F964" s="136"/>
      <c r="H964" s="136"/>
    </row>
    <row r="965">
      <c r="A965" s="104"/>
      <c r="D965" s="136"/>
      <c r="F965" s="136"/>
      <c r="H965" s="136"/>
    </row>
    <row r="966">
      <c r="A966" s="104"/>
      <c r="D966" s="136"/>
      <c r="F966" s="136"/>
      <c r="H966" s="136"/>
    </row>
    <row r="967">
      <c r="A967" s="104"/>
      <c r="D967" s="136"/>
      <c r="F967" s="136"/>
      <c r="H967" s="136"/>
    </row>
    <row r="968">
      <c r="A968" s="104"/>
      <c r="D968" s="136"/>
      <c r="F968" s="136"/>
      <c r="H968" s="136"/>
    </row>
    <row r="969">
      <c r="A969" s="104"/>
      <c r="D969" s="136"/>
      <c r="F969" s="136"/>
      <c r="H969" s="136"/>
    </row>
    <row r="970">
      <c r="A970" s="104"/>
      <c r="D970" s="136"/>
      <c r="F970" s="136"/>
      <c r="H970" s="136"/>
    </row>
    <row r="971">
      <c r="A971" s="104"/>
      <c r="D971" s="136"/>
      <c r="F971" s="136"/>
      <c r="H971" s="136"/>
    </row>
    <row r="972">
      <c r="A972" s="104"/>
      <c r="D972" s="136"/>
      <c r="F972" s="136"/>
      <c r="H972" s="136"/>
    </row>
    <row r="973">
      <c r="A973" s="104"/>
      <c r="D973" s="136"/>
      <c r="F973" s="136"/>
      <c r="H973" s="136"/>
    </row>
    <row r="974">
      <c r="A974" s="104"/>
      <c r="D974" s="136"/>
      <c r="F974" s="136"/>
      <c r="H974" s="136"/>
    </row>
    <row r="975">
      <c r="A975" s="104"/>
      <c r="D975" s="136"/>
      <c r="F975" s="136"/>
      <c r="H975" s="136"/>
    </row>
    <row r="976">
      <c r="A976" s="104"/>
      <c r="D976" s="136"/>
      <c r="F976" s="136"/>
      <c r="H976" s="136"/>
    </row>
    <row r="977">
      <c r="A977" s="104"/>
      <c r="D977" s="136"/>
      <c r="F977" s="136"/>
      <c r="H977" s="136"/>
    </row>
    <row r="978">
      <c r="A978" s="104"/>
      <c r="D978" s="136"/>
      <c r="F978" s="136"/>
      <c r="H978" s="136"/>
    </row>
    <row r="979">
      <c r="A979" s="104"/>
      <c r="D979" s="136"/>
      <c r="F979" s="136"/>
      <c r="H979" s="136"/>
    </row>
    <row r="980">
      <c r="A980" s="104"/>
      <c r="D980" s="136"/>
      <c r="F980" s="136"/>
      <c r="H980" s="136"/>
    </row>
    <row r="981">
      <c r="A981" s="104"/>
      <c r="D981" s="136"/>
      <c r="F981" s="136"/>
      <c r="H981" s="136"/>
    </row>
    <row r="982">
      <c r="A982" s="104"/>
      <c r="D982" s="136"/>
      <c r="F982" s="136"/>
      <c r="H982" s="136"/>
    </row>
    <row r="983">
      <c r="A983" s="104"/>
      <c r="D983" s="136"/>
      <c r="F983" s="136"/>
      <c r="H983" s="136"/>
    </row>
    <row r="984">
      <c r="A984" s="104"/>
      <c r="D984" s="136"/>
      <c r="F984" s="136"/>
      <c r="H984" s="136"/>
    </row>
    <row r="985">
      <c r="A985" s="104"/>
      <c r="D985" s="136"/>
      <c r="F985" s="136"/>
      <c r="H985" s="136"/>
    </row>
    <row r="986">
      <c r="A986" s="104"/>
      <c r="D986" s="136"/>
      <c r="F986" s="136"/>
      <c r="H986" s="136"/>
    </row>
    <row r="987">
      <c r="A987" s="104"/>
      <c r="D987" s="136"/>
      <c r="F987" s="136"/>
      <c r="H987" s="136"/>
    </row>
    <row r="988">
      <c r="A988" s="104"/>
      <c r="D988" s="136"/>
      <c r="F988" s="136"/>
      <c r="H988" s="136"/>
    </row>
    <row r="989">
      <c r="A989" s="104"/>
      <c r="D989" s="136"/>
      <c r="F989" s="136"/>
      <c r="H989" s="136"/>
    </row>
    <row r="990">
      <c r="A990" s="104"/>
      <c r="D990" s="136"/>
      <c r="F990" s="136"/>
      <c r="H990" s="136"/>
    </row>
    <row r="991">
      <c r="A991" s="104"/>
      <c r="D991" s="136"/>
      <c r="F991" s="136"/>
      <c r="H991" s="136"/>
    </row>
    <row r="992">
      <c r="A992" s="104"/>
      <c r="D992" s="136"/>
      <c r="F992" s="136"/>
      <c r="H992" s="136"/>
    </row>
    <row r="993">
      <c r="A993" s="104"/>
      <c r="D993" s="136"/>
      <c r="F993" s="136"/>
      <c r="H993" s="136"/>
    </row>
    <row r="994">
      <c r="A994" s="104"/>
      <c r="D994" s="136"/>
      <c r="F994" s="136"/>
      <c r="H994" s="136"/>
    </row>
    <row r="995">
      <c r="A995" s="104"/>
      <c r="D995" s="136"/>
      <c r="F995" s="136"/>
      <c r="H995" s="136"/>
    </row>
    <row r="996">
      <c r="A996" s="104"/>
      <c r="D996" s="136"/>
      <c r="F996" s="136"/>
      <c r="H996" s="136"/>
    </row>
    <row r="997">
      <c r="A997" s="104"/>
      <c r="D997" s="136"/>
      <c r="F997" s="136"/>
      <c r="H997" s="136"/>
    </row>
    <row r="998">
      <c r="A998" s="104"/>
      <c r="D998" s="136"/>
      <c r="F998" s="136"/>
      <c r="H998" s="136"/>
    </row>
    <row r="999">
      <c r="A999" s="104"/>
      <c r="D999" s="136"/>
      <c r="F999" s="136"/>
      <c r="H999" s="136"/>
    </row>
    <row r="1000">
      <c r="A1000" s="104"/>
      <c r="D1000" s="136"/>
      <c r="F1000" s="136"/>
      <c r="H1000" s="136"/>
    </row>
    <row r="1001">
      <c r="A1001" s="104"/>
      <c r="D1001" s="136"/>
      <c r="F1001" s="136"/>
      <c r="H1001" s="136"/>
    </row>
    <row r="1002">
      <c r="A1002" s="104"/>
      <c r="D1002" s="136"/>
      <c r="F1002" s="136"/>
      <c r="H1002" s="136"/>
    </row>
  </sheetData>
  <mergeCells count="14">
    <mergeCell ref="A5:A7"/>
    <mergeCell ref="A8:A10"/>
    <mergeCell ref="A11:A13"/>
    <mergeCell ref="A14:A16"/>
    <mergeCell ref="A17:A19"/>
    <mergeCell ref="A20:A22"/>
    <mergeCell ref="A23:A25"/>
    <mergeCell ref="A1:I1"/>
    <mergeCell ref="A3:B4"/>
    <mergeCell ref="C3:I3"/>
    <mergeCell ref="J3:P3"/>
    <mergeCell ref="Q3:W3"/>
    <mergeCell ref="X3:AA3"/>
    <mergeCell ref="AB3:AE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3.0" ySplit="5.0" topLeftCell="D6" activePane="bottomRight" state="frozen"/>
      <selection activeCell="D1" sqref="D1" pane="topRight"/>
      <selection activeCell="A6" sqref="A6" pane="bottomLeft"/>
      <selection activeCell="D6" sqref="D6" pane="bottomRight"/>
    </sheetView>
  </sheetViews>
  <sheetFormatPr customHeight="1" defaultColWidth="14.43" defaultRowHeight="15.0"/>
  <cols>
    <col customWidth="1" min="1" max="2" width="8.71"/>
    <col customWidth="1" min="3" max="3" width="20.0"/>
    <col customWidth="1" min="4" max="4" width="11.71"/>
    <col customWidth="1" min="5" max="6" width="8.71"/>
    <col customWidth="1" min="7" max="7" width="12.43"/>
    <col customWidth="1" min="8" max="9" width="12.0"/>
    <col customWidth="1" min="10" max="10" width="12.29"/>
    <col customWidth="1" min="11" max="11" width="8.71"/>
    <col customWidth="1" min="12" max="13" width="12.29"/>
    <col customWidth="1" min="14" max="14" width="11.29"/>
    <col customWidth="1" min="15" max="17" width="15.43"/>
    <col customWidth="1" min="18" max="29" width="12.29"/>
    <col customWidth="1" min="30" max="30" width="5.71"/>
    <col customWidth="1" min="31" max="31" width="9.57"/>
    <col customWidth="1" min="32" max="32" width="7.43"/>
    <col customWidth="1" min="33" max="54" width="8.71"/>
    <col customWidth="1" min="55" max="55" width="2.14"/>
    <col customWidth="1" min="56" max="72" width="11.29"/>
    <col customWidth="1" min="73" max="73" width="12.71"/>
    <col customWidth="1" min="74" max="74" width="13.29"/>
    <col customWidth="1" min="75" max="76" width="9.43"/>
    <col customWidth="1" min="77" max="77" width="8.86"/>
    <col customWidth="1" min="78" max="78" width="7.43"/>
    <col customWidth="1" min="79" max="79" width="8.0"/>
    <col customWidth="1" min="80" max="80" width="6.86"/>
    <col customWidth="1" min="81" max="88" width="12.71"/>
    <col customWidth="1" min="89" max="89" width="12.86"/>
    <col customWidth="1" min="90" max="90" width="11.29"/>
    <col customWidth="1" min="91" max="91" width="13.0"/>
    <col customWidth="1" min="92" max="92" width="12.14"/>
    <col customWidth="1" min="93" max="93" width="17.0"/>
    <col customWidth="1" min="94" max="95" width="8.71"/>
    <col customWidth="1" min="96" max="98" width="25.71"/>
  </cols>
  <sheetData>
    <row r="1" ht="14.25" customHeight="1">
      <c r="A1" s="137" t="s">
        <v>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9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E1" s="138"/>
      <c r="AF1" s="140"/>
      <c r="AG1" s="138"/>
      <c r="AH1" s="138"/>
      <c r="AI1" s="138"/>
      <c r="AM1" s="141"/>
      <c r="BC1" s="142"/>
    </row>
    <row r="2" ht="14.25" customHeight="1">
      <c r="R2" s="143"/>
      <c r="AF2" s="141"/>
      <c r="AM2" s="141"/>
      <c r="BC2" s="142"/>
    </row>
    <row r="3" ht="14.25" customHeight="1">
      <c r="A3" s="125">
        <v>9507123.0</v>
      </c>
      <c r="D3" s="144" t="s">
        <v>90</v>
      </c>
      <c r="E3" s="20"/>
      <c r="F3" s="20"/>
      <c r="G3" s="20"/>
      <c r="H3" s="20"/>
      <c r="I3" s="20"/>
      <c r="J3" s="20"/>
      <c r="K3" s="20"/>
      <c r="L3" s="20"/>
      <c r="M3" s="21"/>
      <c r="N3" s="145"/>
      <c r="O3" s="146" t="s">
        <v>90</v>
      </c>
      <c r="P3" s="20"/>
      <c r="Q3" s="21"/>
      <c r="R3" s="147" t="s">
        <v>106</v>
      </c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E3" s="148" t="s">
        <v>94</v>
      </c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1"/>
      <c r="BC3" s="149"/>
      <c r="BD3" s="150"/>
      <c r="BE3" s="151" t="s">
        <v>107</v>
      </c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1"/>
      <c r="BS3" s="146" t="s">
        <v>108</v>
      </c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1"/>
      <c r="CM3" s="152"/>
      <c r="CN3" s="152"/>
      <c r="CO3" s="152"/>
      <c r="CP3" s="152"/>
      <c r="CQ3" s="152"/>
    </row>
    <row r="4" ht="39.75" customHeight="1">
      <c r="A4" s="153"/>
      <c r="B4" s="153"/>
      <c r="C4" s="154"/>
      <c r="D4" s="155"/>
      <c r="E4" s="155"/>
      <c r="F4" s="155"/>
      <c r="G4" s="155"/>
      <c r="H4" s="156"/>
      <c r="I4" s="155"/>
      <c r="J4" s="155"/>
      <c r="K4" s="155"/>
      <c r="L4" s="156"/>
      <c r="M4" s="155"/>
      <c r="N4" s="155"/>
      <c r="O4" s="156"/>
      <c r="P4" s="156"/>
      <c r="Q4" s="156"/>
      <c r="R4" s="157" t="s">
        <v>109</v>
      </c>
      <c r="S4" s="20"/>
      <c r="T4" s="20"/>
      <c r="U4" s="20"/>
      <c r="V4" s="20"/>
      <c r="W4" s="20"/>
      <c r="X4" s="20"/>
      <c r="Y4" s="20"/>
      <c r="Z4" s="20"/>
      <c r="AA4" s="21"/>
      <c r="AB4" s="158"/>
      <c r="AC4" s="158"/>
      <c r="AE4" s="156"/>
      <c r="AF4" s="159"/>
      <c r="AG4" s="156"/>
      <c r="AH4" s="156"/>
      <c r="AI4" s="155"/>
      <c r="AJ4" s="155"/>
      <c r="AK4" s="155"/>
      <c r="AL4" s="156"/>
      <c r="AM4" s="159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60"/>
      <c r="BD4" s="156"/>
      <c r="BE4" s="156"/>
      <c r="BF4" s="161"/>
      <c r="BG4" s="161"/>
      <c r="BH4" s="161"/>
      <c r="BI4" s="161"/>
      <c r="BJ4" s="162"/>
      <c r="BK4" s="162"/>
      <c r="BL4" s="162"/>
      <c r="BM4" s="25"/>
      <c r="BN4" s="25"/>
      <c r="BO4" s="25"/>
      <c r="BP4" s="25"/>
      <c r="BQ4" s="161"/>
      <c r="BR4" s="161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63"/>
      <c r="CE4" s="164"/>
      <c r="CF4" s="164"/>
      <c r="CG4" s="164"/>
      <c r="CH4" s="164"/>
      <c r="CI4" s="164"/>
      <c r="CJ4" s="156"/>
      <c r="CK4" s="156"/>
      <c r="CL4" s="156"/>
      <c r="CM4" s="165"/>
      <c r="CN4" s="165"/>
      <c r="CO4" s="165"/>
      <c r="CP4" s="166"/>
      <c r="CQ4" s="166"/>
    </row>
    <row r="5" ht="39.75" customHeight="1">
      <c r="A5" s="167" t="s">
        <v>110</v>
      </c>
      <c r="B5" s="167" t="s">
        <v>111</v>
      </c>
      <c r="C5" s="168" t="s">
        <v>112</v>
      </c>
      <c r="D5" s="155" t="s">
        <v>67</v>
      </c>
      <c r="E5" s="155" t="s">
        <v>68</v>
      </c>
      <c r="F5" s="155" t="s">
        <v>69</v>
      </c>
      <c r="G5" s="155" t="s">
        <v>38</v>
      </c>
      <c r="H5" s="156" t="s">
        <v>113</v>
      </c>
      <c r="I5" s="155" t="s">
        <v>73</v>
      </c>
      <c r="J5" s="155" t="s">
        <v>42</v>
      </c>
      <c r="K5" s="155" t="s">
        <v>74</v>
      </c>
      <c r="L5" s="156" t="s">
        <v>114</v>
      </c>
      <c r="M5" s="155" t="s">
        <v>75</v>
      </c>
      <c r="N5" s="155" t="s">
        <v>48</v>
      </c>
      <c r="O5" s="156" t="s">
        <v>91</v>
      </c>
      <c r="P5" s="156" t="s">
        <v>92</v>
      </c>
      <c r="Q5" s="156" t="s">
        <v>93</v>
      </c>
      <c r="R5" s="169" t="s">
        <v>67</v>
      </c>
      <c r="S5" s="170" t="s">
        <v>115</v>
      </c>
      <c r="T5" s="171" t="s">
        <v>68</v>
      </c>
      <c r="U5" s="172" t="s">
        <v>116</v>
      </c>
      <c r="V5" s="171" t="s">
        <v>69</v>
      </c>
      <c r="W5" s="173" t="s">
        <v>38</v>
      </c>
      <c r="X5" s="173"/>
      <c r="Y5" s="173" t="s">
        <v>42</v>
      </c>
      <c r="Z5" s="173"/>
      <c r="AA5" s="173" t="s">
        <v>74</v>
      </c>
      <c r="AB5" s="173"/>
      <c r="AC5" s="174" t="s">
        <v>117</v>
      </c>
      <c r="AE5" s="156" t="s">
        <v>67</v>
      </c>
      <c r="AF5" s="159" t="s">
        <v>118</v>
      </c>
      <c r="AG5" s="156" t="s">
        <v>119</v>
      </c>
      <c r="AI5" s="155" t="s">
        <v>68</v>
      </c>
      <c r="AJ5" s="156" t="s">
        <v>120</v>
      </c>
      <c r="AK5" s="155" t="s">
        <v>69</v>
      </c>
      <c r="AL5" s="156" t="s">
        <v>38</v>
      </c>
      <c r="AM5" s="159" t="s">
        <v>121</v>
      </c>
      <c r="AN5" s="175" t="s">
        <v>122</v>
      </c>
      <c r="AO5" s="156" t="s">
        <v>123</v>
      </c>
      <c r="AP5" s="163" t="s">
        <v>73</v>
      </c>
      <c r="AQ5" s="163" t="s">
        <v>42</v>
      </c>
      <c r="AR5" s="156" t="s">
        <v>124</v>
      </c>
      <c r="AS5" s="156" t="s">
        <v>74</v>
      </c>
      <c r="AT5" s="156" t="s">
        <v>125</v>
      </c>
      <c r="AU5" s="156" t="s">
        <v>126</v>
      </c>
      <c r="AV5" s="156" t="s">
        <v>127</v>
      </c>
      <c r="AW5" s="156" t="s">
        <v>128</v>
      </c>
      <c r="AX5" s="156" t="s">
        <v>75</v>
      </c>
      <c r="AY5" s="156" t="s">
        <v>48</v>
      </c>
      <c r="AZ5" s="156" t="s">
        <v>91</v>
      </c>
      <c r="BA5" s="156" t="s">
        <v>92</v>
      </c>
      <c r="BB5" s="156" t="s">
        <v>93</v>
      </c>
      <c r="BC5" s="160"/>
      <c r="BD5" s="156" t="s">
        <v>129</v>
      </c>
      <c r="BE5" s="156" t="s">
        <v>130</v>
      </c>
      <c r="BF5" s="161" t="s">
        <v>38</v>
      </c>
      <c r="BG5" s="176" t="s">
        <v>131</v>
      </c>
      <c r="BH5" s="161" t="s">
        <v>122</v>
      </c>
      <c r="BI5" s="161" t="s">
        <v>74</v>
      </c>
      <c r="BJ5" s="177" t="s">
        <v>132</v>
      </c>
      <c r="BK5" s="178" t="s">
        <v>133</v>
      </c>
      <c r="BL5" s="162" t="s">
        <v>127</v>
      </c>
      <c r="BM5" s="179" t="s">
        <v>134</v>
      </c>
      <c r="BN5" s="25" t="s">
        <v>70</v>
      </c>
      <c r="BO5" s="25" t="s">
        <v>71</v>
      </c>
      <c r="BP5" s="25" t="s">
        <v>72</v>
      </c>
      <c r="BQ5" s="161" t="s">
        <v>68</v>
      </c>
      <c r="BR5" s="161" t="s">
        <v>69</v>
      </c>
      <c r="BS5" s="156" t="s">
        <v>135</v>
      </c>
      <c r="BT5" s="156" t="s">
        <v>136</v>
      </c>
      <c r="BU5" s="156" t="s">
        <v>38</v>
      </c>
      <c r="BV5" s="156" t="s">
        <v>137</v>
      </c>
      <c r="BW5" s="156" t="s">
        <v>138</v>
      </c>
      <c r="BX5" s="156" t="s">
        <v>73</v>
      </c>
      <c r="BY5" s="156" t="s">
        <v>42</v>
      </c>
      <c r="BZ5" s="156" t="s">
        <v>74</v>
      </c>
      <c r="CA5" s="156" t="s">
        <v>75</v>
      </c>
      <c r="CB5" s="156" t="s">
        <v>48</v>
      </c>
      <c r="CC5" s="156" t="s">
        <v>68</v>
      </c>
      <c r="CD5" s="163" t="s">
        <v>139</v>
      </c>
      <c r="CE5" s="180" t="s">
        <v>140</v>
      </c>
      <c r="CF5" s="180" t="s">
        <v>141</v>
      </c>
      <c r="CG5" s="164" t="s">
        <v>69</v>
      </c>
      <c r="CH5" s="164" t="s">
        <v>91</v>
      </c>
      <c r="CI5" s="164" t="s">
        <v>142</v>
      </c>
      <c r="CJ5" s="156" t="s">
        <v>143</v>
      </c>
      <c r="CK5" s="156" t="s">
        <v>92</v>
      </c>
      <c r="CL5" s="156" t="s">
        <v>93</v>
      </c>
      <c r="CM5" s="165"/>
      <c r="CN5" s="165"/>
      <c r="CO5" s="165"/>
      <c r="CP5" s="166"/>
      <c r="CQ5" s="166"/>
    </row>
    <row r="6" ht="14.25" customHeight="1">
      <c r="A6" s="181"/>
      <c r="B6" s="182"/>
      <c r="C6" s="182"/>
      <c r="D6" s="183"/>
      <c r="E6" s="183"/>
      <c r="F6" s="183"/>
      <c r="G6" s="184"/>
      <c r="H6" s="184"/>
      <c r="I6" s="185"/>
      <c r="J6" s="183"/>
      <c r="K6" s="183"/>
      <c r="L6" s="185"/>
      <c r="M6" s="185"/>
      <c r="N6" s="185"/>
      <c r="O6" s="184"/>
      <c r="P6" s="184"/>
      <c r="Q6" s="185"/>
      <c r="R6" s="186"/>
      <c r="S6" s="187"/>
      <c r="T6" s="185"/>
      <c r="U6" s="185"/>
      <c r="V6" s="185"/>
      <c r="W6" s="188"/>
      <c r="X6" s="188"/>
      <c r="Y6" s="188"/>
      <c r="Z6" s="188"/>
      <c r="AA6" s="188"/>
      <c r="AB6" s="188"/>
      <c r="AC6" s="188"/>
      <c r="AE6" s="183"/>
      <c r="AF6" s="189"/>
      <c r="AG6" s="190"/>
      <c r="AI6" s="183"/>
      <c r="AJ6" s="190"/>
      <c r="AK6" s="183"/>
      <c r="AL6" s="185"/>
      <c r="AM6" s="191"/>
      <c r="AN6" s="35"/>
      <c r="AO6" s="35"/>
      <c r="AP6" s="35"/>
      <c r="AQ6" s="35"/>
      <c r="AS6" s="35"/>
      <c r="AT6" s="35"/>
      <c r="AU6" s="35"/>
      <c r="AV6" s="35"/>
      <c r="AW6" s="185"/>
      <c r="AX6" s="185"/>
      <c r="AY6" s="185"/>
      <c r="AZ6" s="35"/>
      <c r="BA6" s="35"/>
      <c r="BB6" s="35"/>
      <c r="BC6" s="192"/>
      <c r="BD6" s="190"/>
      <c r="BE6" s="183"/>
      <c r="BF6" s="35"/>
      <c r="BG6" s="35"/>
      <c r="BH6" s="35"/>
      <c r="BI6" s="35"/>
      <c r="BJ6" s="193"/>
      <c r="BK6" s="193"/>
      <c r="BL6" s="193"/>
      <c r="BM6" s="193"/>
      <c r="BN6" s="193"/>
      <c r="BO6" s="193"/>
      <c r="BP6" s="193"/>
      <c r="BQ6" s="35"/>
      <c r="BR6" s="35"/>
      <c r="BS6" s="190"/>
      <c r="BT6" s="183"/>
      <c r="BU6" s="185"/>
      <c r="BV6" s="185" t="s">
        <v>144</v>
      </c>
      <c r="BW6" s="185" t="s">
        <v>145</v>
      </c>
      <c r="BX6" s="185"/>
      <c r="BY6" s="185"/>
      <c r="BZ6" s="185"/>
      <c r="CA6" s="185"/>
      <c r="CB6" s="185"/>
      <c r="CC6" s="35"/>
      <c r="CD6" s="185"/>
      <c r="CE6" s="194"/>
      <c r="CF6" s="194"/>
      <c r="CG6" s="194"/>
      <c r="CH6" s="195"/>
      <c r="CI6" s="195"/>
      <c r="CJ6" s="196"/>
      <c r="CK6" s="195"/>
      <c r="CL6" s="195"/>
      <c r="CM6" s="197"/>
      <c r="CN6" s="198"/>
      <c r="CO6" s="197"/>
      <c r="CP6" s="197"/>
      <c r="CQ6" s="197"/>
    </row>
    <row r="7" ht="14.25" customHeight="1">
      <c r="A7" s="181" t="s">
        <v>146</v>
      </c>
      <c r="B7" s="182">
        <v>853.0</v>
      </c>
      <c r="C7" s="182" t="s">
        <v>147</v>
      </c>
      <c r="D7" s="183">
        <v>416.0</v>
      </c>
      <c r="E7" s="183">
        <v>357.0</v>
      </c>
      <c r="F7" s="183">
        <v>59.0</v>
      </c>
      <c r="G7" s="184">
        <v>337.0</v>
      </c>
      <c r="H7" s="184">
        <v>306.0</v>
      </c>
      <c r="I7" s="185">
        <v>5.0</v>
      </c>
      <c r="J7" s="183">
        <v>2.0</v>
      </c>
      <c r="K7" s="183">
        <v>72.0</v>
      </c>
      <c r="L7" s="185">
        <v>47.0</v>
      </c>
      <c r="M7" s="185">
        <v>0.0</v>
      </c>
      <c r="N7" s="185">
        <v>0.0</v>
      </c>
      <c r="O7" s="184">
        <v>294.0</v>
      </c>
      <c r="P7" s="184">
        <v>98.0</v>
      </c>
      <c r="Q7" s="185">
        <v>24.0</v>
      </c>
      <c r="R7" s="199">
        <v>66976.0</v>
      </c>
      <c r="S7" s="200">
        <f t="shared" ref="S7:S42" si="1">R7/255740623</f>
        <v>0.000261890345</v>
      </c>
      <c r="T7" s="185">
        <v>38809.0</v>
      </c>
      <c r="U7" s="201">
        <f t="shared" ref="U7:U43" si="2">T7/R7</f>
        <v>0.5794463688</v>
      </c>
      <c r="V7" s="185">
        <v>28167.0</v>
      </c>
      <c r="W7" s="188">
        <v>47140.0</v>
      </c>
      <c r="X7" s="202">
        <f t="shared" ref="X7:X43" si="3">W7/R7</f>
        <v>0.7038342093</v>
      </c>
      <c r="Y7" s="203">
        <v>1891.0</v>
      </c>
      <c r="Z7" s="204">
        <f t="shared" ref="Z7:Z43" si="4">Y7/R7</f>
        <v>0.02823399427</v>
      </c>
      <c r="AA7" s="188">
        <v>20802.0</v>
      </c>
      <c r="AB7" s="204">
        <f t="shared" ref="AB7:AB43" si="5">AA7/R7</f>
        <v>0.3105888677</v>
      </c>
      <c r="AC7" s="204">
        <f t="shared" ref="AC7:AC43" si="6">100%-(X7+Z7+AB7)</f>
        <v>-0.04265707119</v>
      </c>
      <c r="AE7" s="183">
        <v>5281.0</v>
      </c>
      <c r="AF7" s="205">
        <f t="shared" ref="AF7:AF42" si="7">AE7/9507123</f>
        <v>0.0005554782451</v>
      </c>
      <c r="AG7" s="206">
        <f t="shared" ref="AG7:AG43" si="8">R7/AE7</f>
        <v>12.68244651</v>
      </c>
      <c r="AI7" s="183">
        <v>3595.0</v>
      </c>
      <c r="AJ7" s="190">
        <v>0.6807422836583981</v>
      </c>
      <c r="AK7" s="183">
        <v>1686.0</v>
      </c>
      <c r="AL7" s="185">
        <v>4043.0</v>
      </c>
      <c r="AM7" s="207">
        <f t="shared" ref="AM7:AM43" si="9">AL7/AE7</f>
        <v>0.7655747018</v>
      </c>
      <c r="AN7" s="35">
        <v>3052.0</v>
      </c>
      <c r="AO7" s="208">
        <f t="shared" ref="AO7:AO43" si="10">AN7/AL7</f>
        <v>0.7548849864</v>
      </c>
      <c r="AP7" s="35">
        <v>135.0</v>
      </c>
      <c r="AQ7" s="35">
        <v>74.0</v>
      </c>
      <c r="AR7" s="208">
        <f t="shared" ref="AR7:AR43" si="11">AQ7/AE7</f>
        <v>0.01401249763</v>
      </c>
      <c r="AS7" s="35">
        <v>1029.0</v>
      </c>
      <c r="AT7" s="208">
        <f t="shared" ref="AT7:AT43" si="12">AS7/AE7</f>
        <v>0.1948494603</v>
      </c>
      <c r="AU7" s="208">
        <f t="shared" ref="AU7:AU43" si="13">AM7-AT7</f>
        <v>0.5707252414</v>
      </c>
      <c r="AV7" s="35">
        <v>465.0</v>
      </c>
      <c r="AW7" s="201">
        <f t="shared" ref="AW7:AW43" si="14">AV7/AS7</f>
        <v>0.4518950437</v>
      </c>
      <c r="AX7" s="185">
        <v>33.0</v>
      </c>
      <c r="AY7" s="185">
        <v>0.0</v>
      </c>
      <c r="AZ7" s="35">
        <v>1785.0</v>
      </c>
      <c r="BA7" s="35">
        <v>2825.0</v>
      </c>
      <c r="BB7" s="35">
        <v>671.0</v>
      </c>
      <c r="BC7" s="192"/>
      <c r="BD7" s="190">
        <f t="shared" ref="BD7:BD43" si="15">BE7/AE7</f>
        <v>0.6582086726</v>
      </c>
      <c r="BE7" s="183">
        <v>3476.0</v>
      </c>
      <c r="BF7" s="35">
        <v>2528.0</v>
      </c>
      <c r="BG7" s="208">
        <f t="shared" ref="BG7:BG43" si="16">BF7/AL7</f>
        <v>0.6252782587</v>
      </c>
      <c r="BH7" s="35">
        <v>1878.0</v>
      </c>
      <c r="BI7" s="35">
        <v>836.0</v>
      </c>
      <c r="BJ7" s="208">
        <f t="shared" ref="BJ7:BJ24" si="17">BI7/AS7</f>
        <v>0.8124392614</v>
      </c>
      <c r="BK7" s="208">
        <f t="shared" ref="BK7:BK43" si="18">BJ7-BG7</f>
        <v>0.1871610027</v>
      </c>
      <c r="BL7" s="35">
        <v>366.0</v>
      </c>
      <c r="BM7" s="208">
        <f t="shared" ref="BM7:BM24" si="19">BL7/BI7</f>
        <v>0.4377990431</v>
      </c>
      <c r="BN7" s="35">
        <v>1221.0</v>
      </c>
      <c r="BO7" s="35">
        <v>1860.0</v>
      </c>
      <c r="BP7" s="35">
        <v>395.0</v>
      </c>
      <c r="BQ7" s="35">
        <v>2288.0</v>
      </c>
      <c r="BR7" s="35">
        <v>1188.0</v>
      </c>
      <c r="BS7" s="190">
        <v>0.009615384615384616</v>
      </c>
      <c r="BT7" s="183">
        <v>4.0</v>
      </c>
      <c r="BU7" s="185">
        <v>3.0</v>
      </c>
      <c r="BV7" s="209">
        <f t="shared" ref="BV7:BV43" si="20">BU7/G7</f>
        <v>0.008902077151</v>
      </c>
      <c r="BW7" s="201">
        <f t="shared" ref="BW7:BW11" si="21">BU7/BT7</f>
        <v>0.75</v>
      </c>
      <c r="BX7" s="185">
        <v>0.0</v>
      </c>
      <c r="BY7" s="185">
        <v>0.0</v>
      </c>
      <c r="BZ7" s="185">
        <v>1.0</v>
      </c>
      <c r="CA7" s="185">
        <v>0.0</v>
      </c>
      <c r="CB7" s="185">
        <v>0.0</v>
      </c>
      <c r="CC7" s="35">
        <v>3.0</v>
      </c>
      <c r="CD7" s="201">
        <f t="shared" ref="CD7:CD11" si="22">CC7/BT7</f>
        <v>0.75</v>
      </c>
      <c r="CE7" s="210"/>
      <c r="CF7" s="211">
        <f t="shared" ref="CF7:CF11" si="23">(CE7/H7)</f>
        <v>0</v>
      </c>
      <c r="CG7" s="194">
        <v>1.0</v>
      </c>
      <c r="CH7" s="195">
        <v>4.0</v>
      </c>
      <c r="CI7" s="195">
        <v>4.0</v>
      </c>
      <c r="CJ7" s="196">
        <v>3.0</v>
      </c>
      <c r="CK7" s="195">
        <v>0.0</v>
      </c>
      <c r="CL7" s="195">
        <v>0.0</v>
      </c>
      <c r="CM7" s="197"/>
      <c r="CN7" s="198"/>
      <c r="CO7" s="197"/>
      <c r="CP7" s="197"/>
      <c r="CQ7" s="197"/>
    </row>
    <row r="8" ht="14.25" customHeight="1">
      <c r="A8" s="181" t="s">
        <v>148</v>
      </c>
      <c r="B8" s="182">
        <v>902.0</v>
      </c>
      <c r="C8" s="182" t="s">
        <v>149</v>
      </c>
      <c r="D8" s="183">
        <v>61948.0</v>
      </c>
      <c r="E8" s="183">
        <v>49810.0</v>
      </c>
      <c r="F8" s="183">
        <v>12138.0</v>
      </c>
      <c r="G8" s="184">
        <v>42516.0</v>
      </c>
      <c r="H8" s="184">
        <v>38544.0</v>
      </c>
      <c r="I8" s="185">
        <v>2621.0</v>
      </c>
      <c r="J8" s="183">
        <v>1542.0</v>
      </c>
      <c r="K8" s="183">
        <v>15058.0</v>
      </c>
      <c r="L8" s="185">
        <v>7841.0</v>
      </c>
      <c r="M8" s="183">
        <v>9.0</v>
      </c>
      <c r="N8" s="183">
        <v>202.0</v>
      </c>
      <c r="O8" s="184">
        <v>46855.0</v>
      </c>
      <c r="P8" s="184">
        <v>2992.0</v>
      </c>
      <c r="Q8" s="185">
        <v>12101.0</v>
      </c>
      <c r="R8" s="212">
        <v>8167256.0</v>
      </c>
      <c r="S8" s="200">
        <f t="shared" si="1"/>
        <v>0.03193570073</v>
      </c>
      <c r="T8" s="185">
        <v>5344356.0</v>
      </c>
      <c r="U8" s="201">
        <f t="shared" si="2"/>
        <v>0.6543637178</v>
      </c>
      <c r="V8" s="185">
        <v>2822900.0</v>
      </c>
      <c r="W8" s="188">
        <v>4376314.0</v>
      </c>
      <c r="X8" s="202">
        <f t="shared" si="3"/>
        <v>0.535836516</v>
      </c>
      <c r="Y8" s="188">
        <v>211692.0</v>
      </c>
      <c r="Z8" s="204">
        <f t="shared" si="4"/>
        <v>0.02591959894</v>
      </c>
      <c r="AA8" s="188">
        <v>3321792.0</v>
      </c>
      <c r="AB8" s="204">
        <f t="shared" si="5"/>
        <v>0.4067206905</v>
      </c>
      <c r="AC8" s="204">
        <f t="shared" si="6"/>
        <v>0.03152319457</v>
      </c>
      <c r="AE8" s="183">
        <v>320724.0</v>
      </c>
      <c r="AF8" s="205">
        <f t="shared" si="7"/>
        <v>0.03373512681</v>
      </c>
      <c r="AG8" s="206">
        <f t="shared" si="8"/>
        <v>25.4650603</v>
      </c>
      <c r="AI8" s="183">
        <v>226196.0</v>
      </c>
      <c r="AJ8" s="190">
        <v>0.7052668337885534</v>
      </c>
      <c r="AK8" s="183">
        <v>94528.0</v>
      </c>
      <c r="AL8" s="185">
        <v>178805.0</v>
      </c>
      <c r="AM8" s="207">
        <f t="shared" si="9"/>
        <v>0.5575042716</v>
      </c>
      <c r="AN8" s="35">
        <v>151970.0</v>
      </c>
      <c r="AO8" s="208">
        <f t="shared" si="10"/>
        <v>0.8499203042</v>
      </c>
      <c r="AP8" s="35">
        <v>12661.0</v>
      </c>
      <c r="AQ8" s="35">
        <v>6146.0</v>
      </c>
      <c r="AR8" s="208">
        <f t="shared" si="11"/>
        <v>0.01916289395</v>
      </c>
      <c r="AS8" s="35">
        <v>122464.0</v>
      </c>
      <c r="AT8" s="208">
        <f t="shared" si="12"/>
        <v>0.3818360958</v>
      </c>
      <c r="AU8" s="208">
        <f t="shared" si="13"/>
        <v>0.1756681758</v>
      </c>
      <c r="AV8" s="35">
        <v>60357.0</v>
      </c>
      <c r="AW8" s="201">
        <f t="shared" si="14"/>
        <v>0.4928550431</v>
      </c>
      <c r="AX8" s="185">
        <v>0.0</v>
      </c>
      <c r="AY8" s="185">
        <v>615.0</v>
      </c>
      <c r="AZ8" s="35">
        <v>147521.0</v>
      </c>
      <c r="BA8" s="35">
        <v>39897.0</v>
      </c>
      <c r="BB8" s="35">
        <v>133306.0</v>
      </c>
      <c r="BC8" s="192"/>
      <c r="BD8" s="190">
        <f t="shared" si="15"/>
        <v>0.5052537384</v>
      </c>
      <c r="BE8" s="183">
        <v>162047.0</v>
      </c>
      <c r="BF8" s="35">
        <v>81043.0</v>
      </c>
      <c r="BG8" s="208">
        <f t="shared" si="16"/>
        <v>0.4532479517</v>
      </c>
      <c r="BH8" s="35">
        <v>65784.0</v>
      </c>
      <c r="BI8" s="191">
        <v>71567.0</v>
      </c>
      <c r="BJ8" s="207">
        <f t="shared" si="17"/>
        <v>0.5843921479</v>
      </c>
      <c r="BK8" s="207">
        <f t="shared" si="18"/>
        <v>0.1311441962</v>
      </c>
      <c r="BL8" s="191">
        <v>34052.0</v>
      </c>
      <c r="BM8" s="207">
        <f t="shared" si="19"/>
        <v>0.4758058882</v>
      </c>
      <c r="BN8" s="35">
        <v>82757.0</v>
      </c>
      <c r="BO8" s="35">
        <v>23329.0</v>
      </c>
      <c r="BP8" s="35">
        <v>55961.0</v>
      </c>
      <c r="BQ8" s="35">
        <v>106031.0</v>
      </c>
      <c r="BR8" s="35">
        <v>56016.0</v>
      </c>
      <c r="BS8" s="213">
        <v>0.19994188674372054</v>
      </c>
      <c r="BT8" s="183">
        <v>12386.0</v>
      </c>
      <c r="BU8" s="185">
        <v>9882.0</v>
      </c>
      <c r="BV8" s="214">
        <f t="shared" si="20"/>
        <v>0.2324301439</v>
      </c>
      <c r="BW8" s="201">
        <f t="shared" si="21"/>
        <v>0.7978362668</v>
      </c>
      <c r="BX8" s="185">
        <v>1527.0</v>
      </c>
      <c r="BY8" s="185">
        <v>542.0</v>
      </c>
      <c r="BZ8" s="185">
        <v>380.0</v>
      </c>
      <c r="CA8" s="185">
        <v>2.0</v>
      </c>
      <c r="CB8" s="185">
        <v>53.0</v>
      </c>
      <c r="CC8" s="35">
        <v>11516.0</v>
      </c>
      <c r="CD8" s="201">
        <f t="shared" si="22"/>
        <v>0.9297594058</v>
      </c>
      <c r="CE8" s="210"/>
      <c r="CF8" s="211">
        <f t="shared" si="23"/>
        <v>0</v>
      </c>
      <c r="CG8" s="194">
        <v>870.0</v>
      </c>
      <c r="CH8" s="195">
        <v>12134.0</v>
      </c>
      <c r="CI8" s="195">
        <v>11833.0</v>
      </c>
      <c r="CJ8" s="196">
        <v>9853.0</v>
      </c>
      <c r="CK8" s="195">
        <v>58.0</v>
      </c>
      <c r="CL8" s="195">
        <v>194.0</v>
      </c>
      <c r="CM8" s="198"/>
      <c r="CN8" s="198"/>
      <c r="CO8" s="197"/>
      <c r="CP8" s="197"/>
      <c r="CQ8" s="197"/>
    </row>
    <row r="9" ht="14.25" customHeight="1">
      <c r="A9" s="181" t="s">
        <v>150</v>
      </c>
      <c r="B9" s="182">
        <v>669.0</v>
      </c>
      <c r="C9" s="182" t="s">
        <v>151</v>
      </c>
      <c r="D9" s="183">
        <v>3603.0</v>
      </c>
      <c r="E9" s="183">
        <v>3234.0</v>
      </c>
      <c r="F9" s="183">
        <v>369.0</v>
      </c>
      <c r="G9" s="184">
        <v>2945.0</v>
      </c>
      <c r="H9" s="184">
        <v>2770.0</v>
      </c>
      <c r="I9" s="185">
        <v>40.0</v>
      </c>
      <c r="J9" s="183">
        <v>68.0</v>
      </c>
      <c r="K9" s="183">
        <v>503.0</v>
      </c>
      <c r="L9" s="185">
        <v>345.0</v>
      </c>
      <c r="M9" s="185">
        <v>0.0</v>
      </c>
      <c r="N9" s="183">
        <v>47.0</v>
      </c>
      <c r="O9" s="184">
        <v>3075.0</v>
      </c>
      <c r="P9" s="184">
        <v>335.0</v>
      </c>
      <c r="Q9" s="185">
        <v>193.0</v>
      </c>
      <c r="R9" s="199">
        <v>328306.0</v>
      </c>
      <c r="S9" s="200">
        <f t="shared" si="1"/>
        <v>0.001283745993</v>
      </c>
      <c r="T9" s="185">
        <v>235799.0</v>
      </c>
      <c r="U9" s="201">
        <f t="shared" si="2"/>
        <v>0.7182293348</v>
      </c>
      <c r="V9" s="185">
        <v>92507.0</v>
      </c>
      <c r="W9" s="188">
        <v>218258.0</v>
      </c>
      <c r="X9" s="202">
        <f t="shared" si="3"/>
        <v>0.6648005215</v>
      </c>
      <c r="Y9" s="188">
        <v>20860.0</v>
      </c>
      <c r="Z9" s="204">
        <f t="shared" si="4"/>
        <v>0.06353828441</v>
      </c>
      <c r="AA9" s="188">
        <v>94940.0</v>
      </c>
      <c r="AB9" s="204">
        <f t="shared" si="5"/>
        <v>0.2891814344</v>
      </c>
      <c r="AC9" s="204">
        <f t="shared" si="6"/>
        <v>-0.01752024026</v>
      </c>
      <c r="AE9" s="183">
        <v>23707.0</v>
      </c>
      <c r="AF9" s="205">
        <f t="shared" si="7"/>
        <v>0.002493604006</v>
      </c>
      <c r="AG9" s="206">
        <f t="shared" si="8"/>
        <v>13.84848357</v>
      </c>
      <c r="AI9" s="183">
        <v>18354.0</v>
      </c>
      <c r="AJ9" s="190">
        <v>0.7742017125743451</v>
      </c>
      <c r="AK9" s="183">
        <v>5353.0</v>
      </c>
      <c r="AL9" s="185">
        <v>15722.0</v>
      </c>
      <c r="AM9" s="207">
        <f t="shared" si="9"/>
        <v>0.6631796516</v>
      </c>
      <c r="AN9" s="35">
        <v>13054.0</v>
      </c>
      <c r="AO9" s="208">
        <f t="shared" si="10"/>
        <v>0.8303014884</v>
      </c>
      <c r="AP9" s="35">
        <v>722.0</v>
      </c>
      <c r="AQ9" s="35">
        <v>1000.0</v>
      </c>
      <c r="AR9" s="208">
        <f t="shared" si="11"/>
        <v>0.04218163412</v>
      </c>
      <c r="AS9" s="35">
        <v>5903.0</v>
      </c>
      <c r="AT9" s="208">
        <f t="shared" si="12"/>
        <v>0.2489981862</v>
      </c>
      <c r="AU9" s="208">
        <f t="shared" si="13"/>
        <v>0.4141814654</v>
      </c>
      <c r="AV9" s="35">
        <v>3789.0</v>
      </c>
      <c r="AW9" s="201">
        <f t="shared" si="14"/>
        <v>0.6418770117</v>
      </c>
      <c r="AX9" s="185">
        <v>0.0</v>
      </c>
      <c r="AY9" s="185">
        <v>360.0</v>
      </c>
      <c r="AZ9" s="35">
        <v>14608.0</v>
      </c>
      <c r="BA9" s="35">
        <v>5980.0</v>
      </c>
      <c r="BB9" s="35">
        <v>3119.0</v>
      </c>
      <c r="BC9" s="192"/>
      <c r="BD9" s="190">
        <f t="shared" si="15"/>
        <v>0.4851731556</v>
      </c>
      <c r="BE9" s="183">
        <v>11502.0</v>
      </c>
      <c r="BF9" s="35">
        <v>7028.0</v>
      </c>
      <c r="BG9" s="208">
        <f t="shared" si="16"/>
        <v>0.447016919</v>
      </c>
      <c r="BH9" s="35">
        <v>5285.0</v>
      </c>
      <c r="BI9" s="35">
        <v>3604.0</v>
      </c>
      <c r="BJ9" s="207">
        <f t="shared" si="17"/>
        <v>0.6105370151</v>
      </c>
      <c r="BK9" s="207">
        <f t="shared" si="18"/>
        <v>0.1635200961</v>
      </c>
      <c r="BL9" s="191">
        <v>2216.0</v>
      </c>
      <c r="BM9" s="207">
        <f t="shared" si="19"/>
        <v>0.614872364</v>
      </c>
      <c r="BN9" s="35">
        <v>7086.0</v>
      </c>
      <c r="BO9" s="35">
        <v>2981.0</v>
      </c>
      <c r="BP9" s="35">
        <v>1435.0</v>
      </c>
      <c r="BQ9" s="35">
        <v>8103.0</v>
      </c>
      <c r="BR9" s="35">
        <v>3399.0</v>
      </c>
      <c r="BS9" s="213">
        <v>0.21343325006938663</v>
      </c>
      <c r="BT9" s="183">
        <v>769.0</v>
      </c>
      <c r="BU9" s="185">
        <v>769.0</v>
      </c>
      <c r="BV9" s="215">
        <f t="shared" si="20"/>
        <v>0.2611205433</v>
      </c>
      <c r="BW9" s="201">
        <f t="shared" si="21"/>
        <v>1</v>
      </c>
      <c r="BX9" s="185">
        <v>0.0</v>
      </c>
      <c r="BY9" s="185">
        <v>0.0</v>
      </c>
      <c r="BZ9" s="185">
        <v>0.0</v>
      </c>
      <c r="CA9" s="185">
        <v>0.0</v>
      </c>
      <c r="CB9" s="185">
        <v>0.0</v>
      </c>
      <c r="CC9" s="35">
        <v>768.0</v>
      </c>
      <c r="CD9" s="201">
        <f t="shared" si="22"/>
        <v>0.9986996099</v>
      </c>
      <c r="CE9" s="210"/>
      <c r="CF9" s="211">
        <f t="shared" si="23"/>
        <v>0</v>
      </c>
      <c r="CG9" s="194">
        <v>1.0</v>
      </c>
      <c r="CH9" s="195">
        <v>769.0</v>
      </c>
      <c r="CI9" s="195">
        <v>718.0</v>
      </c>
      <c r="CJ9" s="196">
        <v>769.0</v>
      </c>
      <c r="CK9" s="195">
        <v>0.0</v>
      </c>
      <c r="CL9" s="195">
        <v>0.0</v>
      </c>
      <c r="CM9" s="198"/>
      <c r="CN9" s="198"/>
      <c r="CO9" s="198"/>
      <c r="CP9" s="197"/>
      <c r="CQ9" s="197"/>
    </row>
    <row r="10" ht="14.25" customHeight="1">
      <c r="A10" s="181" t="s">
        <v>150</v>
      </c>
      <c r="B10" s="182">
        <v>848.0</v>
      </c>
      <c r="C10" s="182" t="s">
        <v>152</v>
      </c>
      <c r="D10" s="183">
        <v>60859.0</v>
      </c>
      <c r="E10" s="183">
        <v>57473.0</v>
      </c>
      <c r="F10" s="183">
        <v>3386.0</v>
      </c>
      <c r="G10" s="184">
        <v>45388.0</v>
      </c>
      <c r="H10" s="184">
        <v>43378.0</v>
      </c>
      <c r="I10" s="185">
        <v>102.0</v>
      </c>
      <c r="J10" s="183">
        <v>3841.0</v>
      </c>
      <c r="K10" s="183">
        <v>5852.0</v>
      </c>
      <c r="L10" s="185">
        <v>4801.0</v>
      </c>
      <c r="M10" s="185">
        <v>0.0</v>
      </c>
      <c r="N10" s="183">
        <v>5676.0</v>
      </c>
      <c r="O10" s="184">
        <v>45078.0</v>
      </c>
      <c r="P10" s="184">
        <v>3965.0</v>
      </c>
      <c r="Q10" s="185">
        <v>11816.0</v>
      </c>
      <c r="R10" s="199">
        <v>7101572.0</v>
      </c>
      <c r="S10" s="200">
        <f t="shared" si="1"/>
        <v>0.02776865058</v>
      </c>
      <c r="T10" s="185">
        <v>6180408.0</v>
      </c>
      <c r="U10" s="201">
        <f t="shared" si="2"/>
        <v>0.870287311</v>
      </c>
      <c r="V10" s="185">
        <v>921164.0</v>
      </c>
      <c r="W10" s="188">
        <v>5201187.0</v>
      </c>
      <c r="X10" s="202">
        <f t="shared" si="3"/>
        <v>0.7323993899</v>
      </c>
      <c r="Y10" s="188">
        <v>381954.0</v>
      </c>
      <c r="Z10" s="204">
        <f t="shared" si="4"/>
        <v>0.0537844297</v>
      </c>
      <c r="AA10" s="188">
        <v>1595135.0</v>
      </c>
      <c r="AB10" s="204">
        <f t="shared" si="5"/>
        <v>0.2246171693</v>
      </c>
      <c r="AC10" s="204">
        <f t="shared" si="6"/>
        <v>-0.01080098885</v>
      </c>
      <c r="AE10" s="183">
        <v>352944.0</v>
      </c>
      <c r="AF10" s="205">
        <f t="shared" si="7"/>
        <v>0.03712416469</v>
      </c>
      <c r="AG10" s="206">
        <f t="shared" si="8"/>
        <v>20.1209597</v>
      </c>
      <c r="AI10" s="183">
        <v>306838.0</v>
      </c>
      <c r="AJ10" s="190">
        <v>0.8693673783943062</v>
      </c>
      <c r="AK10" s="183">
        <v>46106.0</v>
      </c>
      <c r="AL10" s="185">
        <v>217563.0</v>
      </c>
      <c r="AM10" s="207">
        <f t="shared" si="9"/>
        <v>0.6164235686</v>
      </c>
      <c r="AN10" s="35">
        <v>195169.0</v>
      </c>
      <c r="AO10" s="208">
        <f t="shared" si="10"/>
        <v>0.897068895</v>
      </c>
      <c r="AP10" s="35">
        <v>2704.0</v>
      </c>
      <c r="AQ10" s="35">
        <v>27251.0</v>
      </c>
      <c r="AR10" s="208">
        <f t="shared" si="11"/>
        <v>0.07721054898</v>
      </c>
      <c r="AS10" s="35">
        <v>86582.0</v>
      </c>
      <c r="AT10" s="208">
        <f t="shared" si="12"/>
        <v>0.2453137042</v>
      </c>
      <c r="AU10" s="208">
        <f t="shared" si="13"/>
        <v>0.3711098645</v>
      </c>
      <c r="AV10" s="35">
        <v>65965.0</v>
      </c>
      <c r="AW10" s="201">
        <f t="shared" si="14"/>
        <v>0.7618789125</v>
      </c>
      <c r="AX10" s="185">
        <v>0.0</v>
      </c>
      <c r="AY10" s="185">
        <v>18844.0</v>
      </c>
      <c r="AZ10" s="35">
        <v>163950.0</v>
      </c>
      <c r="BA10" s="35">
        <v>77642.0</v>
      </c>
      <c r="BB10" s="35">
        <v>111352.0</v>
      </c>
      <c r="BC10" s="192"/>
      <c r="BD10" s="190">
        <f t="shared" si="15"/>
        <v>0.4101273856</v>
      </c>
      <c r="BE10" s="183">
        <v>144752.0</v>
      </c>
      <c r="BF10" s="35">
        <v>81836.0</v>
      </c>
      <c r="BG10" s="208">
        <f t="shared" si="16"/>
        <v>0.3761485179</v>
      </c>
      <c r="BH10" s="35">
        <v>68415.0</v>
      </c>
      <c r="BI10" s="35">
        <v>48176.0</v>
      </c>
      <c r="BJ10" s="207">
        <f t="shared" si="17"/>
        <v>0.5564205031</v>
      </c>
      <c r="BK10" s="207">
        <f t="shared" si="18"/>
        <v>0.1802719852</v>
      </c>
      <c r="BL10" s="191">
        <v>34712.0</v>
      </c>
      <c r="BM10" s="207">
        <f t="shared" si="19"/>
        <v>0.7205247426</v>
      </c>
      <c r="BN10" s="35">
        <v>66442.0</v>
      </c>
      <c r="BO10" s="35">
        <v>40295.0</v>
      </c>
      <c r="BP10" s="35">
        <v>38015.0</v>
      </c>
      <c r="BQ10" s="35">
        <v>116350.0</v>
      </c>
      <c r="BR10" s="35">
        <v>28402.0</v>
      </c>
      <c r="BS10" s="190">
        <v>0.055226014229612715</v>
      </c>
      <c r="BT10" s="183">
        <v>3361.0</v>
      </c>
      <c r="BU10" s="185">
        <v>3072.0</v>
      </c>
      <c r="BV10" s="209">
        <f t="shared" si="20"/>
        <v>0.06768308804</v>
      </c>
      <c r="BW10" s="201">
        <f t="shared" si="21"/>
        <v>0.9140136864</v>
      </c>
      <c r="BX10" s="185">
        <v>2.0</v>
      </c>
      <c r="BY10" s="185">
        <v>16.0</v>
      </c>
      <c r="BZ10" s="185">
        <v>29.0</v>
      </c>
      <c r="CA10" s="185">
        <v>0.0</v>
      </c>
      <c r="CB10" s="185">
        <v>242.0</v>
      </c>
      <c r="CC10" s="35">
        <v>3319.0</v>
      </c>
      <c r="CD10" s="201">
        <f t="shared" si="22"/>
        <v>0.9875037191</v>
      </c>
      <c r="CE10" s="210"/>
      <c r="CF10" s="211">
        <f t="shared" si="23"/>
        <v>0</v>
      </c>
      <c r="CG10" s="194">
        <v>42.0</v>
      </c>
      <c r="CH10" s="195">
        <v>3312.0</v>
      </c>
      <c r="CI10" s="195">
        <v>3295.0</v>
      </c>
      <c r="CJ10" s="196">
        <v>3047.0</v>
      </c>
      <c r="CK10" s="195">
        <v>3.0</v>
      </c>
      <c r="CL10" s="195">
        <v>46.0</v>
      </c>
      <c r="CM10" s="198"/>
      <c r="CN10" s="198"/>
      <c r="CO10" s="198"/>
      <c r="CP10" s="197"/>
      <c r="CQ10" s="197"/>
    </row>
    <row r="11" ht="14.25" customHeight="1">
      <c r="A11" s="181" t="s">
        <v>153</v>
      </c>
      <c r="B11" s="182">
        <v>773.0</v>
      </c>
      <c r="C11" s="182" t="s">
        <v>154</v>
      </c>
      <c r="D11" s="183">
        <v>93165.0</v>
      </c>
      <c r="E11" s="183">
        <v>84040.0</v>
      </c>
      <c r="F11" s="183">
        <v>9125.0</v>
      </c>
      <c r="G11" s="184">
        <v>75388.0</v>
      </c>
      <c r="H11" s="184">
        <v>71256.0</v>
      </c>
      <c r="I11" s="185">
        <v>170.0</v>
      </c>
      <c r="J11" s="183">
        <v>742.0</v>
      </c>
      <c r="K11" s="183">
        <v>8097.0</v>
      </c>
      <c r="L11" s="185">
        <v>5458.0</v>
      </c>
      <c r="M11" s="183">
        <v>1735.0</v>
      </c>
      <c r="N11" s="183">
        <v>7033.0</v>
      </c>
      <c r="O11" s="184">
        <v>80431.0</v>
      </c>
      <c r="P11" s="184">
        <v>4978.0</v>
      </c>
      <c r="Q11" s="185">
        <v>7756.0</v>
      </c>
      <c r="R11" s="199">
        <v>2.7046438E7</v>
      </c>
      <c r="S11" s="200">
        <f t="shared" si="1"/>
        <v>0.1057573008</v>
      </c>
      <c r="T11" s="185">
        <v>2.3758534E7</v>
      </c>
      <c r="U11" s="201">
        <f t="shared" si="2"/>
        <v>0.8784348608</v>
      </c>
      <c r="V11" s="185">
        <v>3287904.0</v>
      </c>
      <c r="W11" s="216">
        <v>2.1896037E7</v>
      </c>
      <c r="X11" s="202">
        <f t="shared" si="3"/>
        <v>0.8095719296</v>
      </c>
      <c r="Y11" s="188">
        <v>197306.0</v>
      </c>
      <c r="Z11" s="204">
        <f t="shared" si="4"/>
        <v>0.007295082628</v>
      </c>
      <c r="AA11" s="188">
        <v>3306257.0</v>
      </c>
      <c r="AB11" s="204">
        <f t="shared" si="5"/>
        <v>0.1222437128</v>
      </c>
      <c r="AC11" s="204">
        <f t="shared" si="6"/>
        <v>0.06088927496</v>
      </c>
      <c r="AE11" s="183">
        <v>582876.0</v>
      </c>
      <c r="AF11" s="205">
        <f t="shared" si="7"/>
        <v>0.06130939928</v>
      </c>
      <c r="AG11" s="206">
        <f t="shared" si="8"/>
        <v>46.40170122</v>
      </c>
      <c r="AI11" s="183">
        <v>490913.0</v>
      </c>
      <c r="AJ11" s="190">
        <v>0.8422254476080676</v>
      </c>
      <c r="AK11" s="183">
        <v>91963.0</v>
      </c>
      <c r="AL11" s="185">
        <v>395189.0</v>
      </c>
      <c r="AM11" s="207">
        <f t="shared" si="9"/>
        <v>0.6779984079</v>
      </c>
      <c r="AN11" s="35">
        <v>365080.0</v>
      </c>
      <c r="AO11" s="208">
        <f t="shared" si="10"/>
        <v>0.9238111385</v>
      </c>
      <c r="AP11" s="35">
        <v>2598.0</v>
      </c>
      <c r="AQ11" s="35">
        <v>3585.0</v>
      </c>
      <c r="AR11" s="208">
        <f t="shared" si="11"/>
        <v>0.006150536306</v>
      </c>
      <c r="AS11" s="35">
        <v>109949.0</v>
      </c>
      <c r="AT11" s="208">
        <f t="shared" si="12"/>
        <v>0.1886318874</v>
      </c>
      <c r="AU11" s="208">
        <f t="shared" si="13"/>
        <v>0.4893665205</v>
      </c>
      <c r="AV11" s="35">
        <v>69889.0</v>
      </c>
      <c r="AW11" s="201">
        <f t="shared" si="14"/>
        <v>0.6356492556</v>
      </c>
      <c r="AX11" s="185">
        <v>8848.0</v>
      </c>
      <c r="AY11" s="185">
        <v>62707.0</v>
      </c>
      <c r="AZ11" s="35">
        <v>446493.0</v>
      </c>
      <c r="BA11" s="35">
        <v>72859.0</v>
      </c>
      <c r="BB11" s="35">
        <v>63524.0</v>
      </c>
      <c r="BC11" s="192"/>
      <c r="BD11" s="217">
        <f t="shared" si="15"/>
        <v>0.4026859915</v>
      </c>
      <c r="BE11" s="183">
        <v>234716.0</v>
      </c>
      <c r="BF11" s="35">
        <v>158492.0</v>
      </c>
      <c r="BG11" s="208">
        <f t="shared" si="16"/>
        <v>0.4010536731</v>
      </c>
      <c r="BH11" s="35">
        <v>143920.0</v>
      </c>
      <c r="BI11" s="35">
        <v>45472.0</v>
      </c>
      <c r="BJ11" s="207">
        <f t="shared" si="17"/>
        <v>0.4135735659</v>
      </c>
      <c r="BK11" s="207">
        <f t="shared" si="18"/>
        <v>0.01251989287</v>
      </c>
      <c r="BL11" s="191">
        <v>26798.0</v>
      </c>
      <c r="BM11" s="207">
        <f t="shared" si="19"/>
        <v>0.5893296974</v>
      </c>
      <c r="BN11" s="35">
        <v>190726.0</v>
      </c>
      <c r="BO11" s="35">
        <v>27637.0</v>
      </c>
      <c r="BP11" s="35">
        <v>16353.0</v>
      </c>
      <c r="BQ11" s="35">
        <v>190708.0</v>
      </c>
      <c r="BR11" s="35">
        <v>44008.0</v>
      </c>
      <c r="BS11" s="190">
        <v>0.0561047603713841</v>
      </c>
      <c r="BT11" s="183">
        <v>5227.0</v>
      </c>
      <c r="BU11" s="185">
        <v>5018.0</v>
      </c>
      <c r="BV11" s="209">
        <f t="shared" si="20"/>
        <v>0.06656231761</v>
      </c>
      <c r="BW11" s="201">
        <f t="shared" si="21"/>
        <v>0.9600153051</v>
      </c>
      <c r="BX11" s="185">
        <v>4.0</v>
      </c>
      <c r="BY11" s="185">
        <v>83.0</v>
      </c>
      <c r="BZ11" s="185">
        <v>31.0</v>
      </c>
      <c r="CA11" s="185">
        <v>45.0</v>
      </c>
      <c r="CB11" s="185">
        <v>46.0</v>
      </c>
      <c r="CC11" s="35">
        <v>4914.0</v>
      </c>
      <c r="CD11" s="201">
        <f t="shared" si="22"/>
        <v>0.9401186149</v>
      </c>
      <c r="CE11" s="210"/>
      <c r="CF11" s="211">
        <f t="shared" si="23"/>
        <v>0</v>
      </c>
      <c r="CG11" s="194">
        <v>313.0</v>
      </c>
      <c r="CH11" s="195">
        <v>4215.0</v>
      </c>
      <c r="CI11" s="195">
        <v>3971.0</v>
      </c>
      <c r="CJ11" s="196">
        <v>4047.0</v>
      </c>
      <c r="CK11" s="195">
        <v>16.0</v>
      </c>
      <c r="CL11" s="195">
        <v>996.0</v>
      </c>
      <c r="CM11" s="198"/>
      <c r="CN11" s="198"/>
      <c r="CO11" s="198"/>
      <c r="CP11" s="197"/>
      <c r="CQ11" s="197"/>
    </row>
    <row r="12" ht="14.25" customHeight="1">
      <c r="A12" s="181" t="s">
        <v>155</v>
      </c>
      <c r="B12" s="182">
        <v>927.0</v>
      </c>
      <c r="C12" s="182" t="s">
        <v>156</v>
      </c>
      <c r="D12" s="183">
        <v>233.0</v>
      </c>
      <c r="E12" s="183">
        <v>0.0</v>
      </c>
      <c r="F12" s="183">
        <v>233.0</v>
      </c>
      <c r="G12" s="184">
        <v>116.0</v>
      </c>
      <c r="H12" s="185">
        <v>0.0</v>
      </c>
      <c r="I12" s="185">
        <v>7.0</v>
      </c>
      <c r="J12" s="183">
        <v>7.0</v>
      </c>
      <c r="K12" s="183">
        <v>76.0</v>
      </c>
      <c r="L12" s="218">
        <v>0.0</v>
      </c>
      <c r="M12" s="185">
        <v>0.0</v>
      </c>
      <c r="N12" s="183">
        <v>27.0</v>
      </c>
      <c r="O12" s="184">
        <v>60.0</v>
      </c>
      <c r="P12" s="184">
        <v>168.0</v>
      </c>
      <c r="Q12" s="185">
        <v>5.0</v>
      </c>
      <c r="R12" s="199">
        <v>246568.0</v>
      </c>
      <c r="S12" s="200">
        <f t="shared" si="1"/>
        <v>0.0009641331014</v>
      </c>
      <c r="T12" s="2">
        <v>0.0</v>
      </c>
      <c r="U12" s="201">
        <f t="shared" si="2"/>
        <v>0</v>
      </c>
      <c r="V12" s="185">
        <v>246568.0</v>
      </c>
      <c r="W12" s="188">
        <v>155727.0</v>
      </c>
      <c r="X12" s="202">
        <f t="shared" si="3"/>
        <v>0.631578307</v>
      </c>
      <c r="Y12" s="188">
        <v>8800.0</v>
      </c>
      <c r="Z12" s="204">
        <f t="shared" si="4"/>
        <v>0.03568995166</v>
      </c>
      <c r="AA12" s="188">
        <v>88519.0</v>
      </c>
      <c r="AB12" s="204">
        <f t="shared" si="5"/>
        <v>0.3590044126</v>
      </c>
      <c r="AC12" s="204">
        <f t="shared" si="6"/>
        <v>-0.02627267123</v>
      </c>
      <c r="AE12" s="183">
        <v>9345.0</v>
      </c>
      <c r="AF12" s="205">
        <f t="shared" si="7"/>
        <v>0.0009829472071</v>
      </c>
      <c r="AG12" s="206">
        <f t="shared" si="8"/>
        <v>26.38501873</v>
      </c>
      <c r="AI12" s="183">
        <v>0.0</v>
      </c>
      <c r="AJ12" s="190">
        <v>0.0</v>
      </c>
      <c r="AK12" s="183">
        <v>9345.0</v>
      </c>
      <c r="AL12" s="185">
        <v>4615.0</v>
      </c>
      <c r="AM12" s="219">
        <f t="shared" si="9"/>
        <v>0.493846977</v>
      </c>
      <c r="AN12" s="114">
        <v>0.0</v>
      </c>
      <c r="AO12" s="220">
        <f t="shared" si="10"/>
        <v>0</v>
      </c>
      <c r="AP12" s="114">
        <v>305.0</v>
      </c>
      <c r="AQ12" s="114">
        <v>283.0</v>
      </c>
      <c r="AR12" s="220">
        <f t="shared" si="11"/>
        <v>0.0302835741</v>
      </c>
      <c r="AS12" s="114">
        <v>3845.0</v>
      </c>
      <c r="AT12" s="220">
        <f t="shared" si="12"/>
        <v>0.4114499732</v>
      </c>
      <c r="AU12" s="208">
        <f t="shared" si="13"/>
        <v>0.08239700375</v>
      </c>
      <c r="AV12" s="35">
        <v>0.0</v>
      </c>
      <c r="AW12" s="201">
        <f t="shared" si="14"/>
        <v>0</v>
      </c>
      <c r="AX12" s="185">
        <v>0.0</v>
      </c>
      <c r="AY12" s="185">
        <v>297.0</v>
      </c>
      <c r="AZ12" s="35">
        <v>857.0</v>
      </c>
      <c r="BA12" s="35">
        <v>8299.0</v>
      </c>
      <c r="BB12" s="35">
        <v>189.0</v>
      </c>
      <c r="BC12" s="192"/>
      <c r="BD12" s="190">
        <f t="shared" si="15"/>
        <v>0.8056714821</v>
      </c>
      <c r="BE12" s="183">
        <v>7529.0</v>
      </c>
      <c r="BF12" s="35">
        <v>3270.0</v>
      </c>
      <c r="BG12" s="208">
        <f t="shared" si="16"/>
        <v>0.7085590466</v>
      </c>
      <c r="BH12" s="35">
        <v>0.0</v>
      </c>
      <c r="BI12" s="35">
        <v>3524.0</v>
      </c>
      <c r="BJ12" s="208">
        <f t="shared" si="17"/>
        <v>0.9165149545</v>
      </c>
      <c r="BK12" s="208">
        <f t="shared" si="18"/>
        <v>0.2079559079</v>
      </c>
      <c r="BL12" s="35">
        <v>0.0</v>
      </c>
      <c r="BM12" s="208">
        <f t="shared" si="19"/>
        <v>0</v>
      </c>
      <c r="BN12" s="35">
        <v>711.0</v>
      </c>
      <c r="BO12" s="35">
        <v>6674.0</v>
      </c>
      <c r="BP12" s="35">
        <v>144.0</v>
      </c>
      <c r="BQ12" s="35">
        <v>0.0</v>
      </c>
      <c r="BR12" s="35">
        <v>7529.0</v>
      </c>
      <c r="BS12" s="190">
        <v>0.0</v>
      </c>
      <c r="BT12" s="183">
        <v>0.0</v>
      </c>
      <c r="BU12" s="185">
        <v>0.0</v>
      </c>
      <c r="BV12" s="209">
        <f t="shared" si="20"/>
        <v>0</v>
      </c>
      <c r="BW12" s="201">
        <v>0.0</v>
      </c>
      <c r="BX12" s="185">
        <v>0.0</v>
      </c>
      <c r="BY12" s="185">
        <v>0.0</v>
      </c>
      <c r="BZ12" s="185">
        <v>0.0</v>
      </c>
      <c r="CA12" s="185">
        <v>0.0</v>
      </c>
      <c r="CB12" s="185">
        <v>0.0</v>
      </c>
      <c r="CC12" s="185">
        <v>0.0</v>
      </c>
      <c r="CD12" s="201">
        <v>0.0</v>
      </c>
      <c r="CE12" s="221"/>
      <c r="CF12" s="211">
        <v>0.0</v>
      </c>
      <c r="CG12" s="194">
        <v>0.0</v>
      </c>
      <c r="CH12" s="195">
        <v>0.0</v>
      </c>
      <c r="CI12" s="195">
        <v>0.0</v>
      </c>
      <c r="CJ12" s="196">
        <v>0.0</v>
      </c>
      <c r="CK12" s="195">
        <v>0.0</v>
      </c>
      <c r="CL12" s="195">
        <v>0.0</v>
      </c>
      <c r="CM12" s="198"/>
      <c r="CN12" s="198"/>
      <c r="CO12" s="198"/>
      <c r="CP12" s="197"/>
      <c r="CQ12" s="197"/>
    </row>
    <row r="13" ht="14.25" customHeight="1">
      <c r="A13" s="181" t="s">
        <v>146</v>
      </c>
      <c r="B13" s="182">
        <v>843.0</v>
      </c>
      <c r="C13" s="182" t="s">
        <v>157</v>
      </c>
      <c r="D13" s="183">
        <v>56512.0</v>
      </c>
      <c r="E13" s="183">
        <v>50168.0</v>
      </c>
      <c r="F13" s="183">
        <v>6344.0</v>
      </c>
      <c r="G13" s="184">
        <v>48578.0</v>
      </c>
      <c r="H13" s="184">
        <v>45510.0</v>
      </c>
      <c r="I13" s="185">
        <v>165.0</v>
      </c>
      <c r="J13" s="183">
        <v>417.0</v>
      </c>
      <c r="K13" s="183">
        <v>7063.0</v>
      </c>
      <c r="L13" s="185">
        <v>4176.0</v>
      </c>
      <c r="M13" s="183">
        <v>259.0</v>
      </c>
      <c r="N13" s="183">
        <v>30.0</v>
      </c>
      <c r="O13" s="184">
        <v>35875.0</v>
      </c>
      <c r="P13" s="184">
        <v>2522.0</v>
      </c>
      <c r="Q13" s="185">
        <v>18115.0</v>
      </c>
      <c r="R13" s="199">
        <v>5764230.0</v>
      </c>
      <c r="S13" s="200">
        <f t="shared" si="1"/>
        <v>0.02253936012</v>
      </c>
      <c r="T13" s="185">
        <v>4352641.0</v>
      </c>
      <c r="U13" s="201">
        <f t="shared" si="2"/>
        <v>0.7551123047</v>
      </c>
      <c r="V13" s="185">
        <v>1411589.0</v>
      </c>
      <c r="W13" s="188">
        <v>4193230.0</v>
      </c>
      <c r="X13" s="202">
        <f t="shared" si="3"/>
        <v>0.7274570931</v>
      </c>
      <c r="Y13" s="188">
        <v>74249.0</v>
      </c>
      <c r="Z13" s="204">
        <f t="shared" si="4"/>
        <v>0.01288099191</v>
      </c>
      <c r="AA13" s="188">
        <v>1643600.0</v>
      </c>
      <c r="AB13" s="204">
        <f t="shared" si="5"/>
        <v>0.2851378241</v>
      </c>
      <c r="AC13" s="204">
        <f t="shared" si="6"/>
        <v>-0.02547590918</v>
      </c>
      <c r="AE13" s="183">
        <v>260782.0</v>
      </c>
      <c r="AF13" s="205">
        <f t="shared" si="7"/>
        <v>0.02743016999</v>
      </c>
      <c r="AG13" s="206">
        <f t="shared" si="8"/>
        <v>22.10363445</v>
      </c>
      <c r="AI13" s="183">
        <v>196639.0</v>
      </c>
      <c r="AJ13" s="190">
        <v>0.7540359380632099</v>
      </c>
      <c r="AK13" s="183">
        <v>64143.0</v>
      </c>
      <c r="AL13" s="185">
        <v>176448.0</v>
      </c>
      <c r="AM13" s="207">
        <f t="shared" si="9"/>
        <v>0.6766111158</v>
      </c>
      <c r="AN13" s="35">
        <v>156133.0</v>
      </c>
      <c r="AO13" s="208">
        <f t="shared" si="10"/>
        <v>0.8848669296</v>
      </c>
      <c r="AP13" s="35">
        <v>2183.0</v>
      </c>
      <c r="AQ13" s="35">
        <v>2503.0</v>
      </c>
      <c r="AR13" s="208">
        <f t="shared" si="11"/>
        <v>0.00959805508</v>
      </c>
      <c r="AS13" s="35">
        <v>78718.0</v>
      </c>
      <c r="AT13" s="208">
        <f t="shared" si="12"/>
        <v>0.3018536555</v>
      </c>
      <c r="AU13" s="208">
        <f t="shared" si="13"/>
        <v>0.3747574603</v>
      </c>
      <c r="AV13" s="35">
        <v>38133.0</v>
      </c>
      <c r="AW13" s="201">
        <f t="shared" si="14"/>
        <v>0.4844254173</v>
      </c>
      <c r="AX13" s="185">
        <v>825.0</v>
      </c>
      <c r="AY13" s="185">
        <v>105.0</v>
      </c>
      <c r="AZ13" s="35">
        <v>116650.0</v>
      </c>
      <c r="BA13" s="35">
        <v>50229.0</v>
      </c>
      <c r="BB13" s="35">
        <v>93903.0</v>
      </c>
      <c r="BC13" s="192"/>
      <c r="BD13" s="190">
        <f t="shared" si="15"/>
        <v>0.4789786105</v>
      </c>
      <c r="BE13" s="183">
        <v>124909.0</v>
      </c>
      <c r="BF13" s="35">
        <v>67725.0</v>
      </c>
      <c r="BG13" s="208">
        <f t="shared" si="16"/>
        <v>0.3838241295</v>
      </c>
      <c r="BH13" s="35">
        <v>56135.0</v>
      </c>
      <c r="BI13" s="35">
        <v>54500.0</v>
      </c>
      <c r="BJ13" s="208">
        <f t="shared" si="17"/>
        <v>0.6923448258</v>
      </c>
      <c r="BK13" s="222">
        <f t="shared" si="18"/>
        <v>0.3085206963</v>
      </c>
      <c r="BL13" s="35">
        <v>23355.0</v>
      </c>
      <c r="BM13" s="208">
        <f t="shared" si="19"/>
        <v>0.4285321101</v>
      </c>
      <c r="BN13" s="35">
        <v>55784.0</v>
      </c>
      <c r="BO13" s="35">
        <v>32702.0</v>
      </c>
      <c r="BP13" s="35">
        <v>36423.0</v>
      </c>
      <c r="BQ13" s="35">
        <v>80424.0</v>
      </c>
      <c r="BR13" s="35">
        <v>44485.0</v>
      </c>
      <c r="BS13" s="190">
        <v>0.09697055492638731</v>
      </c>
      <c r="BT13" s="183">
        <v>5480.0</v>
      </c>
      <c r="BU13" s="185">
        <v>5372.0</v>
      </c>
      <c r="BV13" s="209">
        <f t="shared" si="20"/>
        <v>0.1105850385</v>
      </c>
      <c r="BW13" s="201">
        <f t="shared" ref="BW13:BW24" si="24">BU13/BT13</f>
        <v>0.9802919708</v>
      </c>
      <c r="BX13" s="185">
        <v>20.0</v>
      </c>
      <c r="BY13" s="185">
        <v>23.0</v>
      </c>
      <c r="BZ13" s="185">
        <v>62.0</v>
      </c>
      <c r="CA13" s="185">
        <v>2.0</v>
      </c>
      <c r="CB13" s="185">
        <v>1.0</v>
      </c>
      <c r="CC13" s="35">
        <v>5329.0</v>
      </c>
      <c r="CD13" s="201">
        <f t="shared" ref="CD13:CD24" si="25">CC13/BT13</f>
        <v>0.9724452555</v>
      </c>
      <c r="CE13" s="223"/>
      <c r="CF13" s="211">
        <f t="shared" ref="CF13:CF43" si="26">(CE13/H13)</f>
        <v>0</v>
      </c>
      <c r="CG13" s="194">
        <v>151.0</v>
      </c>
      <c r="CH13" s="195">
        <v>4763.0</v>
      </c>
      <c r="CI13" s="195">
        <v>4728.0</v>
      </c>
      <c r="CJ13" s="196">
        <v>4677.0</v>
      </c>
      <c r="CK13" s="195">
        <v>4.0</v>
      </c>
      <c r="CL13" s="195">
        <v>713.0</v>
      </c>
      <c r="CM13" s="198"/>
      <c r="CN13" s="198"/>
      <c r="CO13" s="198"/>
      <c r="CP13" s="197"/>
      <c r="CQ13" s="197"/>
    </row>
    <row r="14" ht="14.25" customHeight="1">
      <c r="A14" s="181" t="s">
        <v>146</v>
      </c>
      <c r="B14" s="182">
        <v>857.0</v>
      </c>
      <c r="C14" s="182" t="s">
        <v>158</v>
      </c>
      <c r="D14" s="183">
        <v>460.0</v>
      </c>
      <c r="E14" s="183">
        <v>393.0</v>
      </c>
      <c r="F14" s="183">
        <v>67.0</v>
      </c>
      <c r="G14" s="184">
        <v>383.0</v>
      </c>
      <c r="H14" s="184">
        <v>341.0</v>
      </c>
      <c r="I14" s="185">
        <v>5.0</v>
      </c>
      <c r="J14" s="183">
        <v>8.0</v>
      </c>
      <c r="K14" s="183">
        <v>63.0</v>
      </c>
      <c r="L14" s="185">
        <v>44.0</v>
      </c>
      <c r="M14" s="183">
        <v>1.0</v>
      </c>
      <c r="N14" s="185">
        <v>0.0</v>
      </c>
      <c r="O14" s="184">
        <v>356.0</v>
      </c>
      <c r="P14" s="184">
        <v>42.0</v>
      </c>
      <c r="Q14" s="185">
        <v>62.0</v>
      </c>
      <c r="R14" s="199">
        <v>128247.0</v>
      </c>
      <c r="S14" s="200">
        <f t="shared" si="1"/>
        <v>0.0005014729318</v>
      </c>
      <c r="T14" s="185">
        <v>81807.0</v>
      </c>
      <c r="U14" s="201">
        <f t="shared" si="2"/>
        <v>0.6378862663</v>
      </c>
      <c r="V14" s="185">
        <v>46440.0</v>
      </c>
      <c r="W14" s="188">
        <v>88110.0</v>
      </c>
      <c r="X14" s="202">
        <f t="shared" si="3"/>
        <v>0.6870336148</v>
      </c>
      <c r="Y14" s="188">
        <v>7109.0</v>
      </c>
      <c r="Z14" s="204">
        <f t="shared" si="4"/>
        <v>0.05543209588</v>
      </c>
      <c r="AA14" s="188">
        <v>35223.0</v>
      </c>
      <c r="AB14" s="204">
        <f t="shared" si="5"/>
        <v>0.2746496994</v>
      </c>
      <c r="AC14" s="204">
        <f t="shared" si="6"/>
        <v>-0.01711541011</v>
      </c>
      <c r="AE14" s="183">
        <v>4489.0</v>
      </c>
      <c r="AF14" s="205">
        <f t="shared" si="7"/>
        <v>0.000472172286</v>
      </c>
      <c r="AG14" s="206">
        <f t="shared" si="8"/>
        <v>28.56916908</v>
      </c>
      <c r="AI14" s="183">
        <v>3227.0</v>
      </c>
      <c r="AJ14" s="190">
        <v>0.7188683448429495</v>
      </c>
      <c r="AK14" s="183">
        <v>1262.0</v>
      </c>
      <c r="AL14" s="185">
        <v>2745.0</v>
      </c>
      <c r="AM14" s="207">
        <f t="shared" si="9"/>
        <v>0.611494765</v>
      </c>
      <c r="AN14" s="35">
        <v>2191.0</v>
      </c>
      <c r="AO14" s="208">
        <f t="shared" si="10"/>
        <v>0.7981785064</v>
      </c>
      <c r="AP14" s="35">
        <v>124.0</v>
      </c>
      <c r="AQ14" s="35">
        <v>211.0</v>
      </c>
      <c r="AR14" s="208">
        <f t="shared" si="11"/>
        <v>0.04700378703</v>
      </c>
      <c r="AS14" s="35">
        <v>1384.0</v>
      </c>
      <c r="AT14" s="208">
        <f t="shared" si="12"/>
        <v>0.3083092003</v>
      </c>
      <c r="AU14" s="208">
        <f t="shared" si="13"/>
        <v>0.3031855647</v>
      </c>
      <c r="AV14" s="35">
        <v>882.0</v>
      </c>
      <c r="AW14" s="201">
        <f t="shared" si="14"/>
        <v>0.637283237</v>
      </c>
      <c r="AX14" s="185">
        <v>25.0</v>
      </c>
      <c r="AY14" s="185">
        <v>6552.0</v>
      </c>
      <c r="AZ14" s="35">
        <v>2235.0</v>
      </c>
      <c r="BA14" s="35">
        <v>1303.0</v>
      </c>
      <c r="BB14" s="35">
        <v>951.0</v>
      </c>
      <c r="BC14" s="192"/>
      <c r="BD14" s="190">
        <f t="shared" si="15"/>
        <v>0.6426821118</v>
      </c>
      <c r="BE14" s="183">
        <v>2885.0</v>
      </c>
      <c r="BF14" s="35">
        <v>1561.0</v>
      </c>
      <c r="BG14" s="208">
        <f t="shared" si="16"/>
        <v>0.5686703097</v>
      </c>
      <c r="BH14" s="35">
        <v>1238.0</v>
      </c>
      <c r="BI14" s="35">
        <v>1139.0</v>
      </c>
      <c r="BJ14" s="208">
        <f t="shared" si="17"/>
        <v>0.8229768786</v>
      </c>
      <c r="BK14" s="222">
        <f t="shared" si="18"/>
        <v>0.254306569</v>
      </c>
      <c r="BL14" s="35">
        <v>720.0</v>
      </c>
      <c r="BM14" s="208">
        <f t="shared" si="19"/>
        <v>0.6321334504</v>
      </c>
      <c r="BN14" s="35">
        <v>1407.0</v>
      </c>
      <c r="BO14" s="35">
        <v>991.0</v>
      </c>
      <c r="BP14" s="35">
        <v>487.0</v>
      </c>
      <c r="BQ14" s="35">
        <v>2011.0</v>
      </c>
      <c r="BR14" s="35">
        <v>874.0</v>
      </c>
      <c r="BS14" s="190">
        <v>0.002173913043478261</v>
      </c>
      <c r="BT14" s="183">
        <v>1.0</v>
      </c>
      <c r="BU14" s="185">
        <v>1.0</v>
      </c>
      <c r="BV14" s="209">
        <f t="shared" si="20"/>
        <v>0.002610966057</v>
      </c>
      <c r="BW14" s="201">
        <f t="shared" si="24"/>
        <v>1</v>
      </c>
      <c r="BX14" s="185">
        <v>0.0</v>
      </c>
      <c r="BY14" s="185">
        <v>0.0</v>
      </c>
      <c r="BZ14" s="185">
        <v>0.0</v>
      </c>
      <c r="CA14" s="185">
        <v>0.0</v>
      </c>
      <c r="CB14" s="185">
        <v>0.0</v>
      </c>
      <c r="CC14" s="185">
        <v>0.0</v>
      </c>
      <c r="CD14" s="201">
        <f t="shared" si="25"/>
        <v>0</v>
      </c>
      <c r="CE14" s="221"/>
      <c r="CF14" s="211">
        <f t="shared" si="26"/>
        <v>0</v>
      </c>
      <c r="CG14" s="194">
        <v>1.0</v>
      </c>
      <c r="CH14" s="224">
        <v>0.0</v>
      </c>
      <c r="CI14" s="195">
        <v>0.0</v>
      </c>
      <c r="CJ14" s="196">
        <v>0.0</v>
      </c>
      <c r="CK14" s="195">
        <v>0.0</v>
      </c>
      <c r="CL14" s="195">
        <v>1.0</v>
      </c>
      <c r="CM14" s="198"/>
      <c r="CN14" s="198"/>
      <c r="CO14" s="198"/>
      <c r="CP14" s="197"/>
      <c r="CQ14" s="197"/>
    </row>
    <row r="15" ht="14.25" customHeight="1">
      <c r="A15" s="181" t="s">
        <v>159</v>
      </c>
      <c r="B15" s="182">
        <v>899.0</v>
      </c>
      <c r="C15" s="182" t="s">
        <v>160</v>
      </c>
      <c r="D15" s="183">
        <v>5619.0</v>
      </c>
      <c r="E15" s="183">
        <v>226.0</v>
      </c>
      <c r="F15" s="183">
        <v>5393.0</v>
      </c>
      <c r="G15" s="184">
        <v>2708.0</v>
      </c>
      <c r="H15" s="184">
        <v>141.0</v>
      </c>
      <c r="I15" s="185">
        <v>54.0</v>
      </c>
      <c r="J15" s="183">
        <v>247.0</v>
      </c>
      <c r="K15" s="183">
        <v>2610.0</v>
      </c>
      <c r="L15" s="185">
        <v>83.0</v>
      </c>
      <c r="M15" s="185">
        <v>0.0</v>
      </c>
      <c r="N15" s="185">
        <v>0.0</v>
      </c>
      <c r="O15" s="184">
        <v>3391.0</v>
      </c>
      <c r="P15" s="184">
        <v>1524.0</v>
      </c>
      <c r="Q15" s="185">
        <v>704.0</v>
      </c>
      <c r="R15" s="199">
        <v>4318482.0</v>
      </c>
      <c r="S15" s="200">
        <f t="shared" si="1"/>
        <v>0.01688617924</v>
      </c>
      <c r="T15" s="185">
        <v>96079.0</v>
      </c>
      <c r="U15" s="201">
        <f t="shared" si="2"/>
        <v>0.02224832707</v>
      </c>
      <c r="V15" s="185">
        <v>4222403.0</v>
      </c>
      <c r="W15" s="188">
        <v>2667885.0</v>
      </c>
      <c r="X15" s="202">
        <f t="shared" si="3"/>
        <v>0.6177830543</v>
      </c>
      <c r="Y15" s="188">
        <v>150909.0</v>
      </c>
      <c r="Z15" s="204">
        <f t="shared" si="4"/>
        <v>0.03494491814</v>
      </c>
      <c r="AA15" s="188">
        <v>1624522.0</v>
      </c>
      <c r="AB15" s="204">
        <f t="shared" si="5"/>
        <v>0.3761789444</v>
      </c>
      <c r="AC15" s="204">
        <f t="shared" si="6"/>
        <v>-0.02890691683</v>
      </c>
      <c r="AE15" s="183">
        <v>151600.0</v>
      </c>
      <c r="AF15" s="205">
        <f t="shared" si="7"/>
        <v>0.01594593864</v>
      </c>
      <c r="AG15" s="206">
        <f t="shared" si="8"/>
        <v>28.48602902</v>
      </c>
      <c r="AI15" s="183">
        <v>3935.0</v>
      </c>
      <c r="AJ15" s="190">
        <v>0.02595646437994723</v>
      </c>
      <c r="AK15" s="183">
        <v>147665.0</v>
      </c>
      <c r="AL15" s="185">
        <v>80846.0</v>
      </c>
      <c r="AM15" s="219">
        <f t="shared" si="9"/>
        <v>0.5332849604</v>
      </c>
      <c r="AN15" s="114">
        <v>2104.0</v>
      </c>
      <c r="AO15" s="220">
        <f t="shared" si="10"/>
        <v>0.02602478787</v>
      </c>
      <c r="AP15" s="114">
        <v>3729.0</v>
      </c>
      <c r="AQ15" s="114">
        <v>4614.0</v>
      </c>
      <c r="AR15" s="220">
        <f t="shared" si="11"/>
        <v>0.0304353562</v>
      </c>
      <c r="AS15" s="114">
        <v>62411.0</v>
      </c>
      <c r="AT15" s="220">
        <f t="shared" si="12"/>
        <v>0.411682058</v>
      </c>
      <c r="AU15" s="208">
        <f t="shared" si="13"/>
        <v>0.1216029024</v>
      </c>
      <c r="AV15" s="35">
        <v>1796.0</v>
      </c>
      <c r="AW15" s="201">
        <f t="shared" si="14"/>
        <v>0.02877697842</v>
      </c>
      <c r="AX15" s="185">
        <v>0.0</v>
      </c>
      <c r="AY15" s="185">
        <v>0.0</v>
      </c>
      <c r="AZ15" s="35">
        <v>36528.0</v>
      </c>
      <c r="BA15" s="35">
        <v>84161.0</v>
      </c>
      <c r="BB15" s="35">
        <v>30911.0</v>
      </c>
      <c r="BC15" s="192"/>
      <c r="BD15" s="190">
        <f t="shared" si="15"/>
        <v>0.7351451187</v>
      </c>
      <c r="BE15" s="183">
        <v>111448.0</v>
      </c>
      <c r="BF15" s="35">
        <v>50720.0</v>
      </c>
      <c r="BG15" s="208">
        <f t="shared" si="16"/>
        <v>0.6273656087</v>
      </c>
      <c r="BH15" s="35">
        <v>1034.0</v>
      </c>
      <c r="BI15" s="35">
        <v>54984.0</v>
      </c>
      <c r="BJ15" s="208">
        <f t="shared" si="17"/>
        <v>0.8809985419</v>
      </c>
      <c r="BK15" s="222">
        <f t="shared" si="18"/>
        <v>0.2536329332</v>
      </c>
      <c r="BL15" s="35">
        <v>1479.0</v>
      </c>
      <c r="BM15" s="208">
        <f t="shared" si="19"/>
        <v>0.02689873418</v>
      </c>
      <c r="BN15" s="35">
        <v>28364.0</v>
      </c>
      <c r="BO15" s="35">
        <v>66754.0</v>
      </c>
      <c r="BP15" s="35">
        <v>16330.0</v>
      </c>
      <c r="BQ15" s="35">
        <v>2535.0</v>
      </c>
      <c r="BR15" s="35">
        <v>108913.0</v>
      </c>
      <c r="BS15" s="190">
        <v>0.003381384588004983</v>
      </c>
      <c r="BT15" s="183">
        <v>19.0</v>
      </c>
      <c r="BU15" s="185">
        <v>9.0</v>
      </c>
      <c r="BV15" s="209">
        <f t="shared" si="20"/>
        <v>0.003323485968</v>
      </c>
      <c r="BW15" s="201">
        <f t="shared" si="24"/>
        <v>0.4736842105</v>
      </c>
      <c r="BX15" s="185">
        <v>0.0</v>
      </c>
      <c r="BY15" s="185">
        <v>7.0</v>
      </c>
      <c r="BZ15" s="185">
        <v>3.0</v>
      </c>
      <c r="CA15" s="185">
        <v>0.0</v>
      </c>
      <c r="CB15" s="185">
        <v>0.0</v>
      </c>
      <c r="CC15" s="185">
        <v>0.0</v>
      </c>
      <c r="CD15" s="201">
        <f t="shared" si="25"/>
        <v>0</v>
      </c>
      <c r="CE15" s="221"/>
      <c r="CF15" s="211">
        <f t="shared" si="26"/>
        <v>0</v>
      </c>
      <c r="CG15" s="194">
        <v>19.0</v>
      </c>
      <c r="CH15" s="195">
        <v>16.0</v>
      </c>
      <c r="CI15" s="195">
        <v>16.0</v>
      </c>
      <c r="CJ15" s="196">
        <v>8.0</v>
      </c>
      <c r="CK15" s="195">
        <v>0.0</v>
      </c>
      <c r="CL15" s="195">
        <v>3.0</v>
      </c>
      <c r="CM15" s="198"/>
      <c r="CN15" s="198"/>
      <c r="CO15" s="198"/>
      <c r="CP15" s="197"/>
      <c r="CQ15" s="197"/>
    </row>
    <row r="16" ht="14.25" customHeight="1">
      <c r="A16" s="181" t="s">
        <v>146</v>
      </c>
      <c r="B16" s="182">
        <v>795.0</v>
      </c>
      <c r="C16" s="182" t="s">
        <v>161</v>
      </c>
      <c r="D16" s="183">
        <v>1510.0</v>
      </c>
      <c r="E16" s="183">
        <v>1185.0</v>
      </c>
      <c r="F16" s="183">
        <v>325.0</v>
      </c>
      <c r="G16" s="184">
        <v>807.0</v>
      </c>
      <c r="H16" s="184">
        <v>694.0</v>
      </c>
      <c r="I16" s="185">
        <v>7.0</v>
      </c>
      <c r="J16" s="183">
        <v>557.0</v>
      </c>
      <c r="K16" s="183">
        <v>139.0</v>
      </c>
      <c r="L16" s="185">
        <v>78.0</v>
      </c>
      <c r="M16" s="185">
        <v>0.0</v>
      </c>
      <c r="N16" s="185">
        <v>0.0</v>
      </c>
      <c r="O16" s="184">
        <v>959.0</v>
      </c>
      <c r="P16" s="184">
        <v>205.0</v>
      </c>
      <c r="Q16" s="185">
        <v>346.0</v>
      </c>
      <c r="R16" s="199">
        <v>282426.0</v>
      </c>
      <c r="S16" s="200">
        <f t="shared" si="1"/>
        <v>0.001104345476</v>
      </c>
      <c r="T16" s="185">
        <v>175938.0</v>
      </c>
      <c r="U16" s="201">
        <f t="shared" si="2"/>
        <v>0.622952561</v>
      </c>
      <c r="V16" s="185">
        <v>106488.0</v>
      </c>
      <c r="W16" s="216">
        <v>37451.0</v>
      </c>
      <c r="X16" s="202">
        <f t="shared" si="3"/>
        <v>0.1326046469</v>
      </c>
      <c r="Y16" s="188">
        <v>222937.0</v>
      </c>
      <c r="Z16" s="204">
        <f t="shared" si="4"/>
        <v>0.7893642937</v>
      </c>
      <c r="AA16" s="188">
        <v>39113.0</v>
      </c>
      <c r="AB16" s="204">
        <f t="shared" si="5"/>
        <v>0.1384893742</v>
      </c>
      <c r="AC16" s="204">
        <f t="shared" si="6"/>
        <v>-0.06045831474</v>
      </c>
      <c r="AE16" s="183">
        <v>13836.0</v>
      </c>
      <c r="AF16" s="205">
        <f t="shared" si="7"/>
        <v>0.001455329862</v>
      </c>
      <c r="AG16" s="206">
        <f t="shared" si="8"/>
        <v>20.41240243</v>
      </c>
      <c r="AI16" s="183">
        <v>9099.0</v>
      </c>
      <c r="AJ16" s="190">
        <v>0.6576322636600174</v>
      </c>
      <c r="AK16" s="183">
        <v>4737.0</v>
      </c>
      <c r="AL16" s="185">
        <v>2860.0</v>
      </c>
      <c r="AM16" s="207">
        <f t="shared" si="9"/>
        <v>0.2067071408</v>
      </c>
      <c r="AN16" s="35">
        <v>2207.0</v>
      </c>
      <c r="AO16" s="208">
        <f t="shared" si="10"/>
        <v>0.7716783217</v>
      </c>
      <c r="AP16" s="35">
        <v>209.0</v>
      </c>
      <c r="AQ16" s="35">
        <v>8826.0</v>
      </c>
      <c r="AR16" s="68">
        <f t="shared" si="11"/>
        <v>0.6379011275</v>
      </c>
      <c r="AS16" s="35">
        <v>1941.0</v>
      </c>
      <c r="AT16" s="208">
        <f t="shared" si="12"/>
        <v>0.1402862099</v>
      </c>
      <c r="AU16" s="208">
        <f t="shared" si="13"/>
        <v>0.0664209309</v>
      </c>
      <c r="AV16" s="35">
        <v>1012.0</v>
      </c>
      <c r="AW16" s="201">
        <f t="shared" si="14"/>
        <v>0.5213807316</v>
      </c>
      <c r="AX16" s="185">
        <v>0.0</v>
      </c>
      <c r="AY16" s="185">
        <v>0.0</v>
      </c>
      <c r="AZ16" s="35">
        <v>3425.0</v>
      </c>
      <c r="BA16" s="35">
        <v>5052.0</v>
      </c>
      <c r="BB16" s="35">
        <v>5359.0</v>
      </c>
      <c r="BC16" s="192"/>
      <c r="BD16" s="190">
        <f t="shared" si="15"/>
        <v>0.8050737207</v>
      </c>
      <c r="BE16" s="183">
        <v>11139.0</v>
      </c>
      <c r="BF16" s="35">
        <v>2259.0</v>
      </c>
      <c r="BG16" s="208">
        <f t="shared" si="16"/>
        <v>0.7898601399</v>
      </c>
      <c r="BH16" s="35">
        <v>1723.0</v>
      </c>
      <c r="BI16" s="35">
        <v>1770.0</v>
      </c>
      <c r="BJ16" s="208">
        <f t="shared" si="17"/>
        <v>0.9119010819</v>
      </c>
      <c r="BK16" s="208">
        <f t="shared" si="18"/>
        <v>0.1220409421</v>
      </c>
      <c r="BL16" s="35">
        <v>905.0</v>
      </c>
      <c r="BM16" s="208">
        <f t="shared" si="19"/>
        <v>0.511299435</v>
      </c>
      <c r="BN16" s="35">
        <v>3059.0</v>
      </c>
      <c r="BO16" s="35">
        <v>4259.0</v>
      </c>
      <c r="BP16" s="35">
        <v>3821.0</v>
      </c>
      <c r="BQ16" s="35">
        <v>7231.0</v>
      </c>
      <c r="BR16" s="35">
        <v>3908.0</v>
      </c>
      <c r="BS16" s="190">
        <v>0.1609271523178808</v>
      </c>
      <c r="BT16" s="183">
        <v>243.0</v>
      </c>
      <c r="BU16" s="185">
        <v>235.0</v>
      </c>
      <c r="BV16" s="215">
        <f t="shared" si="20"/>
        <v>0.2912019827</v>
      </c>
      <c r="BW16" s="201">
        <f t="shared" si="24"/>
        <v>0.9670781893</v>
      </c>
      <c r="BX16" s="185">
        <v>0.0</v>
      </c>
      <c r="BY16" s="185">
        <v>8.0</v>
      </c>
      <c r="BZ16" s="185">
        <v>0.0</v>
      </c>
      <c r="CA16" s="185">
        <v>0.0</v>
      </c>
      <c r="CB16" s="185">
        <v>0.0</v>
      </c>
      <c r="CC16" s="35">
        <v>225.0</v>
      </c>
      <c r="CD16" s="201">
        <f t="shared" si="25"/>
        <v>0.9259259259</v>
      </c>
      <c r="CE16" s="210"/>
      <c r="CF16" s="211">
        <f t="shared" si="26"/>
        <v>0</v>
      </c>
      <c r="CG16" s="194">
        <v>18.0</v>
      </c>
      <c r="CH16" s="195">
        <v>242.0</v>
      </c>
      <c r="CI16" s="195">
        <v>242.0</v>
      </c>
      <c r="CJ16" s="196">
        <v>234.0</v>
      </c>
      <c r="CK16" s="195">
        <v>0.0</v>
      </c>
      <c r="CL16" s="195">
        <v>1.0</v>
      </c>
      <c r="CM16" s="198"/>
      <c r="CN16" s="198"/>
      <c r="CO16" s="198"/>
      <c r="CP16" s="197"/>
      <c r="CQ16" s="197"/>
    </row>
    <row r="17" ht="14.25" customHeight="1">
      <c r="A17" s="181" t="s">
        <v>155</v>
      </c>
      <c r="B17" s="182">
        <v>903.0</v>
      </c>
      <c r="C17" s="182" t="s">
        <v>162</v>
      </c>
      <c r="D17" s="183">
        <v>53851.0</v>
      </c>
      <c r="E17" s="183">
        <v>41439.0</v>
      </c>
      <c r="F17" s="183">
        <v>12412.0</v>
      </c>
      <c r="G17" s="184">
        <v>33536.0</v>
      </c>
      <c r="H17" s="184">
        <v>30649.0</v>
      </c>
      <c r="I17" s="185">
        <v>1163.0</v>
      </c>
      <c r="J17" s="183">
        <v>5590.0</v>
      </c>
      <c r="K17" s="183">
        <v>13559.0</v>
      </c>
      <c r="L17" s="185">
        <v>5832.0</v>
      </c>
      <c r="M17" s="183">
        <v>3.0</v>
      </c>
      <c r="N17" s="185">
        <v>0.0</v>
      </c>
      <c r="O17" s="184">
        <v>40342.0</v>
      </c>
      <c r="P17" s="184">
        <v>3030.0</v>
      </c>
      <c r="Q17" s="185">
        <v>10479.0</v>
      </c>
      <c r="R17" s="199">
        <v>1.1377585E7</v>
      </c>
      <c r="S17" s="200">
        <f t="shared" si="1"/>
        <v>0.04448876704</v>
      </c>
      <c r="T17" s="185">
        <v>7028725.0</v>
      </c>
      <c r="U17" s="201">
        <f t="shared" si="2"/>
        <v>0.6177695003</v>
      </c>
      <c r="V17" s="185">
        <v>4348860.0</v>
      </c>
      <c r="W17" s="188">
        <v>5342934.0</v>
      </c>
      <c r="X17" s="202">
        <f t="shared" si="3"/>
        <v>0.4696017652</v>
      </c>
      <c r="Y17" s="188">
        <v>1814425.0</v>
      </c>
      <c r="Z17" s="204">
        <f t="shared" si="4"/>
        <v>0.1594736493</v>
      </c>
      <c r="AA17" s="188">
        <v>4155768.0</v>
      </c>
      <c r="AB17" s="204">
        <f t="shared" si="5"/>
        <v>0.3652592356</v>
      </c>
      <c r="AC17" s="204">
        <f t="shared" si="6"/>
        <v>0.005665349896</v>
      </c>
      <c r="AE17" s="183">
        <v>378118.0</v>
      </c>
      <c r="AF17" s="205">
        <f t="shared" si="7"/>
        <v>0.03977207405</v>
      </c>
      <c r="AG17" s="206">
        <f t="shared" si="8"/>
        <v>30.09003803</v>
      </c>
      <c r="AI17" s="183">
        <v>249160.0</v>
      </c>
      <c r="AJ17" s="190">
        <v>0.6589477358919702</v>
      </c>
      <c r="AK17" s="183">
        <v>128958.0</v>
      </c>
      <c r="AL17" s="185">
        <v>185185.0</v>
      </c>
      <c r="AM17" s="219">
        <f t="shared" si="9"/>
        <v>0.4897545211</v>
      </c>
      <c r="AN17" s="114">
        <v>160911.0</v>
      </c>
      <c r="AO17" s="220">
        <f t="shared" si="10"/>
        <v>0.8689202689</v>
      </c>
      <c r="AP17" s="114">
        <v>6915.0</v>
      </c>
      <c r="AQ17" s="114">
        <v>47156.0</v>
      </c>
      <c r="AR17" s="220">
        <f t="shared" si="11"/>
        <v>0.1247123914</v>
      </c>
      <c r="AS17" s="114">
        <v>138832.0</v>
      </c>
      <c r="AT17" s="220">
        <f t="shared" si="12"/>
        <v>0.3671658054</v>
      </c>
      <c r="AU17" s="208">
        <f t="shared" si="13"/>
        <v>0.1225887157</v>
      </c>
      <c r="AV17" s="35">
        <v>54357.0</v>
      </c>
      <c r="AW17" s="201">
        <f t="shared" si="14"/>
        <v>0.391530771</v>
      </c>
      <c r="AX17" s="185">
        <v>30.0</v>
      </c>
      <c r="AY17" s="185">
        <v>0.0</v>
      </c>
      <c r="AZ17" s="35">
        <v>246230.0</v>
      </c>
      <c r="BA17" s="35">
        <v>57540.0</v>
      </c>
      <c r="BB17" s="35">
        <v>74348.0</v>
      </c>
      <c r="BC17" s="192"/>
      <c r="BD17" s="190">
        <f t="shared" si="15"/>
        <v>0.5387974124</v>
      </c>
      <c r="BE17" s="183">
        <v>203729.0</v>
      </c>
      <c r="BF17" s="35">
        <v>88253.0</v>
      </c>
      <c r="BG17" s="208">
        <f t="shared" si="16"/>
        <v>0.4765666766</v>
      </c>
      <c r="BH17" s="35">
        <v>73060.0</v>
      </c>
      <c r="BI17" s="35">
        <v>97080.0</v>
      </c>
      <c r="BJ17" s="208">
        <f t="shared" si="17"/>
        <v>0.6992624179</v>
      </c>
      <c r="BK17" s="222">
        <f t="shared" si="18"/>
        <v>0.2226957413</v>
      </c>
      <c r="BL17" s="35">
        <v>35030.0</v>
      </c>
      <c r="BM17" s="208">
        <f t="shared" si="19"/>
        <v>0.3608364236</v>
      </c>
      <c r="BN17" s="35">
        <v>136879.0</v>
      </c>
      <c r="BO17" s="35">
        <v>39690.0</v>
      </c>
      <c r="BP17" s="35">
        <v>27160.0</v>
      </c>
      <c r="BQ17" s="35">
        <v>118374.0</v>
      </c>
      <c r="BR17" s="35">
        <v>85355.0</v>
      </c>
      <c r="BS17" s="190">
        <v>0.030770087834951998</v>
      </c>
      <c r="BT17" s="183">
        <v>1657.0</v>
      </c>
      <c r="BU17" s="185">
        <v>1074.0</v>
      </c>
      <c r="BV17" s="209">
        <f t="shared" si="20"/>
        <v>0.03202528626</v>
      </c>
      <c r="BW17" s="201">
        <f t="shared" si="24"/>
        <v>0.6481593241</v>
      </c>
      <c r="BX17" s="185">
        <v>65.0</v>
      </c>
      <c r="BY17" s="185">
        <v>141.0</v>
      </c>
      <c r="BZ17" s="185">
        <v>377.0</v>
      </c>
      <c r="CA17" s="185">
        <v>0.0</v>
      </c>
      <c r="CB17" s="185">
        <v>0.0</v>
      </c>
      <c r="CC17" s="35">
        <v>1363.0</v>
      </c>
      <c r="CD17" s="201">
        <f t="shared" si="25"/>
        <v>0.8225709113</v>
      </c>
      <c r="CE17" s="210"/>
      <c r="CF17" s="211">
        <f t="shared" si="26"/>
        <v>0</v>
      </c>
      <c r="CG17" s="194">
        <v>294.0</v>
      </c>
      <c r="CH17" s="195">
        <v>1237.0</v>
      </c>
      <c r="CI17" s="195">
        <v>998.0</v>
      </c>
      <c r="CJ17" s="196">
        <v>962.0</v>
      </c>
      <c r="CK17" s="195">
        <v>22.0</v>
      </c>
      <c r="CL17" s="195">
        <v>398.0</v>
      </c>
      <c r="CM17" s="198"/>
      <c r="CN17" s="198"/>
      <c r="CO17" s="198"/>
      <c r="CP17" s="197"/>
      <c r="CQ17" s="197"/>
    </row>
    <row r="18" ht="14.25" customHeight="1">
      <c r="A18" s="181" t="s">
        <v>155</v>
      </c>
      <c r="B18" s="182">
        <v>865.0</v>
      </c>
      <c r="C18" s="182" t="s">
        <v>163</v>
      </c>
      <c r="D18" s="183">
        <v>23726.0</v>
      </c>
      <c r="E18" s="183">
        <v>18008.0</v>
      </c>
      <c r="F18" s="183">
        <v>5718.0</v>
      </c>
      <c r="G18" s="184">
        <v>14503.0</v>
      </c>
      <c r="H18" s="184">
        <v>12956.0</v>
      </c>
      <c r="I18" s="185">
        <v>59.0</v>
      </c>
      <c r="J18" s="183">
        <v>16.0</v>
      </c>
      <c r="K18" s="183">
        <v>8261.0</v>
      </c>
      <c r="L18" s="185">
        <v>4519.0</v>
      </c>
      <c r="M18" s="183">
        <v>2.0</v>
      </c>
      <c r="N18" s="183">
        <v>885.0</v>
      </c>
      <c r="O18" s="184">
        <v>12687.0</v>
      </c>
      <c r="P18" s="184">
        <v>5092.0</v>
      </c>
      <c r="Q18" s="185">
        <v>5947.0</v>
      </c>
      <c r="R18" s="199">
        <v>5792034.0</v>
      </c>
      <c r="S18" s="200">
        <f t="shared" si="1"/>
        <v>0.02264807965</v>
      </c>
      <c r="T18" s="185">
        <v>3565147.0</v>
      </c>
      <c r="U18" s="201">
        <f t="shared" si="2"/>
        <v>0.6155259102</v>
      </c>
      <c r="V18" s="185">
        <v>2226887.0</v>
      </c>
      <c r="W18" s="188">
        <v>2554887.0</v>
      </c>
      <c r="X18" s="202">
        <f t="shared" si="3"/>
        <v>0.4411035916</v>
      </c>
      <c r="Y18" s="188">
        <v>9146.0</v>
      </c>
      <c r="Z18" s="204">
        <f t="shared" si="4"/>
        <v>0.001579065316</v>
      </c>
      <c r="AA18" s="188">
        <v>3301867.0</v>
      </c>
      <c r="AB18" s="204">
        <f t="shared" si="5"/>
        <v>0.570070376</v>
      </c>
      <c r="AC18" s="204">
        <f t="shared" si="6"/>
        <v>-0.01275303287</v>
      </c>
      <c r="AE18" s="183">
        <v>237594.0</v>
      </c>
      <c r="AF18" s="205">
        <f t="shared" si="7"/>
        <v>0.02499115663</v>
      </c>
      <c r="AG18" s="206">
        <f t="shared" si="8"/>
        <v>24.37786308</v>
      </c>
      <c r="AI18" s="183">
        <v>144890.0</v>
      </c>
      <c r="AJ18" s="190">
        <v>0.6098217968467217</v>
      </c>
      <c r="AK18" s="183">
        <v>92704.0</v>
      </c>
      <c r="AL18" s="185">
        <v>92120.0</v>
      </c>
      <c r="AM18" s="219">
        <f t="shared" si="9"/>
        <v>0.3877202286</v>
      </c>
      <c r="AN18" s="114">
        <v>74844.0</v>
      </c>
      <c r="AO18" s="220">
        <f t="shared" si="10"/>
        <v>0.8124620061</v>
      </c>
      <c r="AP18" s="114">
        <v>1763.0</v>
      </c>
      <c r="AQ18" s="114">
        <v>323.0</v>
      </c>
      <c r="AR18" s="220">
        <f t="shared" si="11"/>
        <v>0.001359461939</v>
      </c>
      <c r="AS18" s="114">
        <v>136825.0</v>
      </c>
      <c r="AT18" s="220">
        <f t="shared" si="12"/>
        <v>0.575877337</v>
      </c>
      <c r="AU18" s="208">
        <f t="shared" si="13"/>
        <v>-0.1881571083</v>
      </c>
      <c r="AV18" s="35">
        <v>65486.0</v>
      </c>
      <c r="AW18" s="201">
        <f t="shared" si="14"/>
        <v>0.4786113649</v>
      </c>
      <c r="AX18" s="185">
        <v>11.0</v>
      </c>
      <c r="AY18" s="185">
        <v>0.0</v>
      </c>
      <c r="AZ18" s="35">
        <v>69460.0</v>
      </c>
      <c r="BA18" s="35">
        <v>110277.0</v>
      </c>
      <c r="BB18" s="35">
        <v>57857.0</v>
      </c>
      <c r="BC18" s="192"/>
      <c r="BD18" s="190">
        <f t="shared" si="15"/>
        <v>0.6252009731</v>
      </c>
      <c r="BE18" s="183">
        <v>148544.0</v>
      </c>
      <c r="BF18" s="35">
        <v>39584.0</v>
      </c>
      <c r="BG18" s="208">
        <f t="shared" si="16"/>
        <v>0.4297003908</v>
      </c>
      <c r="BH18" s="35">
        <v>28396.0</v>
      </c>
      <c r="BI18" s="35">
        <v>102675.0</v>
      </c>
      <c r="BJ18" s="208">
        <f t="shared" si="17"/>
        <v>0.7504111091</v>
      </c>
      <c r="BK18" s="222">
        <f t="shared" si="18"/>
        <v>0.3207107183</v>
      </c>
      <c r="BL18" s="35">
        <v>44461.0</v>
      </c>
      <c r="BM18" s="208">
        <f t="shared" si="19"/>
        <v>0.4330265401</v>
      </c>
      <c r="BN18" s="35">
        <v>40288.0</v>
      </c>
      <c r="BO18" s="35">
        <v>81986.0</v>
      </c>
      <c r="BP18" s="35">
        <v>26270.0</v>
      </c>
      <c r="BQ18" s="35">
        <v>75831.0</v>
      </c>
      <c r="BR18" s="35">
        <v>72713.0</v>
      </c>
      <c r="BS18" s="190">
        <v>0.03544634578099975</v>
      </c>
      <c r="BT18" s="183">
        <v>841.0</v>
      </c>
      <c r="BU18" s="185">
        <v>811.0</v>
      </c>
      <c r="BV18" s="209">
        <f t="shared" si="20"/>
        <v>0.05591946494</v>
      </c>
      <c r="BW18" s="201">
        <f t="shared" si="24"/>
        <v>0.9643281807</v>
      </c>
      <c r="BX18" s="185">
        <v>0.0</v>
      </c>
      <c r="BY18" s="185">
        <v>0.0</v>
      </c>
      <c r="BZ18" s="185">
        <v>24.0</v>
      </c>
      <c r="CA18" s="185">
        <v>0.0</v>
      </c>
      <c r="CB18" s="185">
        <v>6.0</v>
      </c>
      <c r="CC18" s="35">
        <v>784.0</v>
      </c>
      <c r="CD18" s="201">
        <f t="shared" si="25"/>
        <v>0.9322235434</v>
      </c>
      <c r="CE18" s="210"/>
      <c r="CF18" s="211">
        <f t="shared" si="26"/>
        <v>0</v>
      </c>
      <c r="CG18" s="194">
        <v>57.0</v>
      </c>
      <c r="CH18" s="195">
        <v>685.0</v>
      </c>
      <c r="CI18" s="195">
        <v>676.0</v>
      </c>
      <c r="CJ18" s="196">
        <v>662.0</v>
      </c>
      <c r="CK18" s="195">
        <v>3.0</v>
      </c>
      <c r="CL18" s="195">
        <v>153.0</v>
      </c>
      <c r="CM18" s="198"/>
      <c r="CN18" s="198"/>
      <c r="CO18" s="198"/>
      <c r="CP18" s="197"/>
      <c r="CQ18" s="197"/>
    </row>
    <row r="19" ht="14.25" customHeight="1">
      <c r="A19" s="181" t="s">
        <v>159</v>
      </c>
      <c r="B19" s="182">
        <v>869.0</v>
      </c>
      <c r="C19" s="182" t="s">
        <v>164</v>
      </c>
      <c r="D19" s="183">
        <v>18028.0</v>
      </c>
      <c r="E19" s="183">
        <v>17171.0</v>
      </c>
      <c r="F19" s="183">
        <v>857.0</v>
      </c>
      <c r="G19" s="184">
        <v>15325.0</v>
      </c>
      <c r="H19" s="184">
        <v>14917.0</v>
      </c>
      <c r="I19" s="185">
        <v>55.0</v>
      </c>
      <c r="J19" s="185">
        <v>0.0</v>
      </c>
      <c r="K19" s="183">
        <v>2646.0</v>
      </c>
      <c r="L19" s="185">
        <v>2212.0</v>
      </c>
      <c r="M19" s="183">
        <v>2.0</v>
      </c>
      <c r="N19" s="185">
        <v>0.0</v>
      </c>
      <c r="O19" s="184">
        <v>11813.0</v>
      </c>
      <c r="P19" s="184">
        <v>1409.0</v>
      </c>
      <c r="Q19" s="185">
        <v>4806.0</v>
      </c>
      <c r="R19" s="199">
        <v>1332148.0</v>
      </c>
      <c r="S19" s="200">
        <f t="shared" si="1"/>
        <v>0.00520898082</v>
      </c>
      <c r="T19" s="185">
        <v>1124235.0</v>
      </c>
      <c r="U19" s="201">
        <f t="shared" si="2"/>
        <v>0.8439265007</v>
      </c>
      <c r="V19" s="185">
        <v>207913.0</v>
      </c>
      <c r="W19" s="188">
        <v>875049.0</v>
      </c>
      <c r="X19" s="202">
        <f t="shared" si="3"/>
        <v>0.6568707081</v>
      </c>
      <c r="Y19" s="225">
        <v>0.0</v>
      </c>
      <c r="Z19" s="204">
        <f t="shared" si="4"/>
        <v>0</v>
      </c>
      <c r="AA19" s="188">
        <v>536204.0</v>
      </c>
      <c r="AB19" s="204">
        <f t="shared" si="5"/>
        <v>0.4025108321</v>
      </c>
      <c r="AC19" s="204">
        <f t="shared" si="6"/>
        <v>-0.05938154019</v>
      </c>
      <c r="AE19" s="183">
        <v>100137.0</v>
      </c>
      <c r="AF19" s="205">
        <f t="shared" si="7"/>
        <v>0.01053283943</v>
      </c>
      <c r="AG19" s="206">
        <f t="shared" si="8"/>
        <v>13.30325454</v>
      </c>
      <c r="AI19" s="183">
        <v>88104.0</v>
      </c>
      <c r="AJ19" s="190">
        <v>0.8798346265616106</v>
      </c>
      <c r="AK19" s="183">
        <v>12033.0</v>
      </c>
      <c r="AL19" s="185">
        <v>66039.0</v>
      </c>
      <c r="AM19" s="207">
        <f t="shared" si="9"/>
        <v>0.6594865035</v>
      </c>
      <c r="AN19" s="35">
        <v>62192.0</v>
      </c>
      <c r="AO19" s="208">
        <f t="shared" si="10"/>
        <v>0.9417465437</v>
      </c>
      <c r="AP19" s="35">
        <v>1215.0</v>
      </c>
      <c r="AQ19" s="35">
        <v>0.0</v>
      </c>
      <c r="AR19" s="208">
        <f t="shared" si="11"/>
        <v>0</v>
      </c>
      <c r="AS19" s="35">
        <v>32878.0</v>
      </c>
      <c r="AT19" s="208">
        <f t="shared" si="12"/>
        <v>0.3283301876</v>
      </c>
      <c r="AU19" s="208">
        <f t="shared" si="13"/>
        <v>0.3311563158</v>
      </c>
      <c r="AV19" s="35">
        <v>24980.0</v>
      </c>
      <c r="AW19" s="201">
        <f t="shared" si="14"/>
        <v>0.7597785753</v>
      </c>
      <c r="AX19" s="185">
        <v>5.0</v>
      </c>
      <c r="AY19" s="185">
        <v>0.0</v>
      </c>
      <c r="AZ19" s="35">
        <v>29108.0</v>
      </c>
      <c r="BA19" s="35">
        <v>25034.0</v>
      </c>
      <c r="BB19" s="35">
        <v>45995.0</v>
      </c>
      <c r="BC19" s="192"/>
      <c r="BD19" s="190">
        <f t="shared" si="15"/>
        <v>0.5187592998</v>
      </c>
      <c r="BE19" s="183">
        <v>51947.0</v>
      </c>
      <c r="BF19" s="35">
        <v>26303.0</v>
      </c>
      <c r="BG19" s="208">
        <f t="shared" si="16"/>
        <v>0.3982949469</v>
      </c>
      <c r="BH19" s="35">
        <v>23960.0</v>
      </c>
      <c r="BI19" s="35">
        <v>25081.0</v>
      </c>
      <c r="BJ19" s="208">
        <f t="shared" si="17"/>
        <v>0.7628505384</v>
      </c>
      <c r="BK19" s="222">
        <f t="shared" si="18"/>
        <v>0.3645555914</v>
      </c>
      <c r="BL19" s="35">
        <v>18815.0</v>
      </c>
      <c r="BM19" s="208">
        <f t="shared" si="19"/>
        <v>0.750169451</v>
      </c>
      <c r="BN19" s="35">
        <v>15461.0</v>
      </c>
      <c r="BO19" s="35">
        <v>18633.0</v>
      </c>
      <c r="BP19" s="35">
        <v>17853.0</v>
      </c>
      <c r="BQ19" s="35">
        <v>43183.0</v>
      </c>
      <c r="BR19" s="35">
        <v>8764.0</v>
      </c>
      <c r="BS19" s="190">
        <v>0.1685711116041713</v>
      </c>
      <c r="BT19" s="183">
        <v>3039.0</v>
      </c>
      <c r="BU19" s="185">
        <v>3029.0</v>
      </c>
      <c r="BV19" s="215">
        <f t="shared" si="20"/>
        <v>0.1976508972</v>
      </c>
      <c r="BW19" s="201">
        <f t="shared" si="24"/>
        <v>0.9967094439</v>
      </c>
      <c r="BX19" s="185">
        <v>0.0</v>
      </c>
      <c r="BY19" s="185">
        <v>0.0</v>
      </c>
      <c r="BZ19" s="185">
        <v>10.0</v>
      </c>
      <c r="CA19" s="185">
        <v>0.0</v>
      </c>
      <c r="CB19" s="185">
        <v>0.0</v>
      </c>
      <c r="CC19" s="35">
        <v>3022.0</v>
      </c>
      <c r="CD19" s="201">
        <f t="shared" si="25"/>
        <v>0.9944060546</v>
      </c>
      <c r="CE19" s="210"/>
      <c r="CF19" s="211">
        <f t="shared" si="26"/>
        <v>0</v>
      </c>
      <c r="CG19" s="194">
        <v>17.0</v>
      </c>
      <c r="CH19" s="195">
        <v>2981.0</v>
      </c>
      <c r="CI19" s="195">
        <v>2980.0</v>
      </c>
      <c r="CJ19" s="196">
        <v>2972.0</v>
      </c>
      <c r="CK19" s="195">
        <v>1.0</v>
      </c>
      <c r="CL19" s="195">
        <v>57.0</v>
      </c>
      <c r="CM19" s="198"/>
      <c r="CN19" s="198"/>
      <c r="CO19" s="198"/>
      <c r="CP19" s="197"/>
      <c r="CQ19" s="197"/>
    </row>
    <row r="20" ht="14.25" customHeight="1">
      <c r="A20" s="181" t="s">
        <v>159</v>
      </c>
      <c r="B20" s="182">
        <v>834.0</v>
      </c>
      <c r="C20" s="182" t="s">
        <v>165</v>
      </c>
      <c r="D20" s="183">
        <v>28805.0</v>
      </c>
      <c r="E20" s="183">
        <v>25555.0</v>
      </c>
      <c r="F20" s="183">
        <v>3250.0</v>
      </c>
      <c r="G20" s="184">
        <v>23117.0</v>
      </c>
      <c r="H20" s="184">
        <v>21380.0</v>
      </c>
      <c r="I20" s="185">
        <v>56.0</v>
      </c>
      <c r="J20" s="183">
        <v>1.0</v>
      </c>
      <c r="K20" s="183">
        <v>5526.0</v>
      </c>
      <c r="L20" s="185">
        <v>4051.0</v>
      </c>
      <c r="M20" s="183">
        <v>70.0</v>
      </c>
      <c r="N20" s="183">
        <v>35.0</v>
      </c>
      <c r="O20" s="184">
        <v>24267.0</v>
      </c>
      <c r="P20" s="184">
        <v>3398.0</v>
      </c>
      <c r="Q20" s="185">
        <v>1140.0</v>
      </c>
      <c r="R20" s="199">
        <v>2323395.0</v>
      </c>
      <c r="S20" s="200">
        <f t="shared" si="1"/>
        <v>0.009084966529</v>
      </c>
      <c r="T20" s="185">
        <v>1717768.0</v>
      </c>
      <c r="U20" s="201">
        <f t="shared" si="2"/>
        <v>0.7393353261</v>
      </c>
      <c r="V20" s="185">
        <v>605627.0</v>
      </c>
      <c r="W20" s="216">
        <v>1437327.0</v>
      </c>
      <c r="X20" s="202">
        <f t="shared" si="3"/>
        <v>0.6186322171</v>
      </c>
      <c r="Y20" s="188">
        <v>209.0</v>
      </c>
      <c r="Z20" s="204">
        <f t="shared" si="4"/>
        <v>0.00008995457079</v>
      </c>
      <c r="AA20" s="188">
        <v>1235033.0</v>
      </c>
      <c r="AB20" s="204">
        <f t="shared" si="5"/>
        <v>0.5315639398</v>
      </c>
      <c r="AC20" s="204">
        <f t="shared" si="6"/>
        <v>-0.1502861115</v>
      </c>
      <c r="AE20" s="183">
        <v>167106.0</v>
      </c>
      <c r="AF20" s="205">
        <f t="shared" si="7"/>
        <v>0.01757692627</v>
      </c>
      <c r="AG20" s="206">
        <f t="shared" si="8"/>
        <v>13.90371979</v>
      </c>
      <c r="AI20" s="183">
        <v>127430.0</v>
      </c>
      <c r="AJ20" s="190">
        <v>0.7625698658336625</v>
      </c>
      <c r="AK20" s="183">
        <v>39676.0</v>
      </c>
      <c r="AL20" s="185">
        <v>97116.0</v>
      </c>
      <c r="AM20" s="207">
        <f t="shared" si="9"/>
        <v>0.5811640516</v>
      </c>
      <c r="AN20" s="35">
        <v>83946.0</v>
      </c>
      <c r="AO20" s="208">
        <f t="shared" si="10"/>
        <v>0.8643889781</v>
      </c>
      <c r="AP20" s="35">
        <v>1232.0</v>
      </c>
      <c r="AQ20" s="35">
        <v>13.0</v>
      </c>
      <c r="AR20" s="208">
        <f t="shared" si="11"/>
        <v>0.00007779493256</v>
      </c>
      <c r="AS20" s="35">
        <v>68031.0</v>
      </c>
      <c r="AT20" s="208">
        <f t="shared" si="12"/>
        <v>0.4071128505</v>
      </c>
      <c r="AU20" s="208">
        <f t="shared" si="13"/>
        <v>0.174051201</v>
      </c>
      <c r="AV20" s="35">
        <v>42252.0</v>
      </c>
      <c r="AW20" s="201">
        <f t="shared" si="14"/>
        <v>0.6210698064</v>
      </c>
      <c r="AX20" s="185">
        <v>528.0</v>
      </c>
      <c r="AY20" s="185">
        <v>186.0</v>
      </c>
      <c r="AZ20" s="35">
        <v>94816.0</v>
      </c>
      <c r="BA20" s="35">
        <v>54973.0</v>
      </c>
      <c r="BB20" s="35">
        <v>17317.0</v>
      </c>
      <c r="BC20" s="192"/>
      <c r="BD20" s="190">
        <f t="shared" si="15"/>
        <v>0.4806948883</v>
      </c>
      <c r="BE20" s="183">
        <v>80327.0</v>
      </c>
      <c r="BF20" s="35">
        <v>36168.0</v>
      </c>
      <c r="BG20" s="208">
        <f t="shared" si="16"/>
        <v>0.3724206104</v>
      </c>
      <c r="BH20" s="35">
        <v>27463.0</v>
      </c>
      <c r="BI20" s="35">
        <v>43190.0</v>
      </c>
      <c r="BJ20" s="208">
        <f t="shared" si="17"/>
        <v>0.6348576384</v>
      </c>
      <c r="BK20" s="222">
        <f t="shared" si="18"/>
        <v>0.262437028</v>
      </c>
      <c r="BL20" s="35">
        <v>24200.0</v>
      </c>
      <c r="BM20" s="208">
        <f t="shared" si="19"/>
        <v>0.5603148877</v>
      </c>
      <c r="BN20" s="35">
        <v>42686.0</v>
      </c>
      <c r="BO20" s="35">
        <v>31321.0</v>
      </c>
      <c r="BP20" s="35">
        <v>6320.0</v>
      </c>
      <c r="BQ20" s="35">
        <v>52245.0</v>
      </c>
      <c r="BR20" s="35">
        <v>28082.0</v>
      </c>
      <c r="BS20" s="190">
        <v>0.08498524561708037</v>
      </c>
      <c r="BT20" s="183">
        <v>2448.0</v>
      </c>
      <c r="BU20" s="185">
        <v>2413.0</v>
      </c>
      <c r="BV20" s="209">
        <f t="shared" si="20"/>
        <v>0.1043820565</v>
      </c>
      <c r="BW20" s="201">
        <f t="shared" si="24"/>
        <v>0.9857026144</v>
      </c>
      <c r="BX20" s="185">
        <v>0.0</v>
      </c>
      <c r="BY20" s="185">
        <v>0.0</v>
      </c>
      <c r="BZ20" s="185">
        <v>35.0</v>
      </c>
      <c r="CA20" s="185">
        <v>0.0</v>
      </c>
      <c r="CB20" s="185">
        <v>0.0</v>
      </c>
      <c r="CC20" s="35">
        <v>2286.0</v>
      </c>
      <c r="CD20" s="201">
        <f t="shared" si="25"/>
        <v>0.9338235294</v>
      </c>
      <c r="CE20" s="210"/>
      <c r="CF20" s="211">
        <f t="shared" si="26"/>
        <v>0</v>
      </c>
      <c r="CG20" s="194">
        <v>162.0</v>
      </c>
      <c r="CH20" s="195">
        <v>2438.0</v>
      </c>
      <c r="CI20" s="195">
        <v>2358.0</v>
      </c>
      <c r="CJ20" s="196">
        <v>2403.0</v>
      </c>
      <c r="CK20" s="195">
        <v>1.0</v>
      </c>
      <c r="CL20" s="195">
        <v>9.0</v>
      </c>
      <c r="CM20" s="198"/>
      <c r="CN20" s="198"/>
      <c r="CO20" s="198"/>
      <c r="CP20" s="197"/>
      <c r="CQ20" s="197"/>
    </row>
    <row r="21" ht="14.25" customHeight="1">
      <c r="A21" s="181" t="s">
        <v>153</v>
      </c>
      <c r="B21" s="182">
        <v>841.0</v>
      </c>
      <c r="C21" s="182" t="s">
        <v>166</v>
      </c>
      <c r="D21" s="183">
        <v>44855.0</v>
      </c>
      <c r="E21" s="183">
        <v>40780.0</v>
      </c>
      <c r="F21" s="183">
        <v>4075.0</v>
      </c>
      <c r="G21" s="184">
        <v>35505.0</v>
      </c>
      <c r="H21" s="184">
        <v>33836.0</v>
      </c>
      <c r="I21" s="185">
        <v>335.0</v>
      </c>
      <c r="J21" s="183">
        <v>1175.0</v>
      </c>
      <c r="K21" s="183">
        <v>1559.0</v>
      </c>
      <c r="L21" s="185">
        <v>1003.0</v>
      </c>
      <c r="M21" s="183">
        <v>21.0</v>
      </c>
      <c r="N21" s="183">
        <v>6260.0</v>
      </c>
      <c r="O21" s="184">
        <v>39846.0</v>
      </c>
      <c r="P21" s="184">
        <v>2874.0</v>
      </c>
      <c r="Q21" s="185">
        <v>2135.0</v>
      </c>
      <c r="R21" s="199">
        <v>7688207.0</v>
      </c>
      <c r="S21" s="200">
        <f t="shared" si="1"/>
        <v>0.03006251768</v>
      </c>
      <c r="T21" s="185">
        <v>6222406.0</v>
      </c>
      <c r="U21" s="201">
        <f t="shared" si="2"/>
        <v>0.8093442333</v>
      </c>
      <c r="V21" s="185">
        <v>1465801.0</v>
      </c>
      <c r="W21" s="188">
        <v>5162305.0</v>
      </c>
      <c r="X21" s="202">
        <f t="shared" si="3"/>
        <v>0.6714575973</v>
      </c>
      <c r="Y21" s="188">
        <v>315854.0</v>
      </c>
      <c r="Z21" s="204">
        <f t="shared" si="4"/>
        <v>0.04108292089</v>
      </c>
      <c r="AA21" s="188">
        <v>1307487.0</v>
      </c>
      <c r="AB21" s="204">
        <f t="shared" si="5"/>
        <v>0.1700639694</v>
      </c>
      <c r="AC21" s="204">
        <f t="shared" si="6"/>
        <v>0.1173955124</v>
      </c>
      <c r="AE21" s="183">
        <v>210418.0</v>
      </c>
      <c r="AF21" s="205">
        <f t="shared" si="7"/>
        <v>0.02213266832</v>
      </c>
      <c r="AG21" s="206">
        <f t="shared" si="8"/>
        <v>36.53778194</v>
      </c>
      <c r="AI21" s="183">
        <v>167148.0</v>
      </c>
      <c r="AJ21" s="190">
        <v>0.794361699094184</v>
      </c>
      <c r="AK21" s="183">
        <v>43270.0</v>
      </c>
      <c r="AL21" s="185">
        <v>116000.0</v>
      </c>
      <c r="AM21" s="207">
        <f t="shared" si="9"/>
        <v>0.5512836354</v>
      </c>
      <c r="AN21" s="35">
        <v>107276.0</v>
      </c>
      <c r="AO21" s="208">
        <f t="shared" si="10"/>
        <v>0.9247931034</v>
      </c>
      <c r="AP21" s="35">
        <v>2856.0</v>
      </c>
      <c r="AQ21" s="35">
        <v>5277.0</v>
      </c>
      <c r="AR21" s="208">
        <f t="shared" si="11"/>
        <v>0.02507865297</v>
      </c>
      <c r="AS21" s="35">
        <v>34422.0</v>
      </c>
      <c r="AT21" s="208">
        <f t="shared" si="12"/>
        <v>0.1635886664</v>
      </c>
      <c r="AU21" s="208">
        <f t="shared" si="13"/>
        <v>0.3876949691</v>
      </c>
      <c r="AV21" s="35">
        <v>16571.0</v>
      </c>
      <c r="AW21" s="201">
        <f t="shared" si="14"/>
        <v>0.4814072396</v>
      </c>
      <c r="AX21" s="185">
        <v>153.0</v>
      </c>
      <c r="AY21" s="185">
        <v>51710.0</v>
      </c>
      <c r="AZ21" s="35">
        <v>141144.0</v>
      </c>
      <c r="BA21" s="35">
        <v>49276.0</v>
      </c>
      <c r="BB21" s="35">
        <v>19998.0</v>
      </c>
      <c r="BC21" s="192"/>
      <c r="BD21" s="190">
        <f t="shared" si="15"/>
        <v>0.3950279919</v>
      </c>
      <c r="BE21" s="183">
        <v>83121.0</v>
      </c>
      <c r="BF21" s="35">
        <v>33672.0</v>
      </c>
      <c r="BG21" s="208">
        <f t="shared" si="16"/>
        <v>0.2902758621</v>
      </c>
      <c r="BH21" s="35">
        <v>28817.0</v>
      </c>
      <c r="BI21" s="35">
        <v>18613.0</v>
      </c>
      <c r="BJ21" s="207">
        <f t="shared" si="17"/>
        <v>0.5407297658</v>
      </c>
      <c r="BK21" s="207">
        <f t="shared" si="18"/>
        <v>0.2504539038</v>
      </c>
      <c r="BL21" s="191">
        <v>7356.0</v>
      </c>
      <c r="BM21" s="207">
        <f t="shared" si="19"/>
        <v>0.3952076506</v>
      </c>
      <c r="BN21" s="35">
        <v>51714.0</v>
      </c>
      <c r="BO21" s="35">
        <v>22881.0</v>
      </c>
      <c r="BP21" s="35">
        <v>8526.0</v>
      </c>
      <c r="BQ21" s="35">
        <v>56309.0</v>
      </c>
      <c r="BR21" s="35">
        <v>26812.0</v>
      </c>
      <c r="BS21" s="190">
        <v>0.16323709731356592</v>
      </c>
      <c r="BT21" s="183">
        <v>7322.0</v>
      </c>
      <c r="BU21" s="185">
        <v>6906.0</v>
      </c>
      <c r="BV21" s="215">
        <f t="shared" si="20"/>
        <v>0.1945078158</v>
      </c>
      <c r="BW21" s="201">
        <f t="shared" si="24"/>
        <v>0.9431849222</v>
      </c>
      <c r="BX21" s="185">
        <v>32.0</v>
      </c>
      <c r="BY21" s="185">
        <v>318.0</v>
      </c>
      <c r="BZ21" s="185">
        <v>4.0</v>
      </c>
      <c r="CA21" s="185">
        <v>0.0</v>
      </c>
      <c r="CB21" s="185">
        <v>62.0</v>
      </c>
      <c r="CC21" s="35">
        <v>7117.0</v>
      </c>
      <c r="CD21" s="201">
        <f t="shared" si="25"/>
        <v>0.9720021852</v>
      </c>
      <c r="CE21" s="210"/>
      <c r="CF21" s="211">
        <f t="shared" si="26"/>
        <v>0</v>
      </c>
      <c r="CG21" s="194">
        <v>205.0</v>
      </c>
      <c r="CH21" s="195">
        <v>7246.0</v>
      </c>
      <c r="CI21" s="195">
        <v>6722.0</v>
      </c>
      <c r="CJ21" s="196">
        <v>6847.0</v>
      </c>
      <c r="CK21" s="195">
        <v>10.0</v>
      </c>
      <c r="CL21" s="195">
        <v>66.0</v>
      </c>
      <c r="CM21" s="198"/>
      <c r="CN21" s="198"/>
      <c r="CO21" s="198"/>
      <c r="CP21" s="197"/>
      <c r="CQ21" s="197"/>
    </row>
    <row r="22" ht="14.25" customHeight="1">
      <c r="A22" s="181" t="s">
        <v>159</v>
      </c>
      <c r="B22" s="182">
        <v>862.0</v>
      </c>
      <c r="C22" s="182" t="s">
        <v>167</v>
      </c>
      <c r="D22" s="183">
        <v>76450.0</v>
      </c>
      <c r="E22" s="183">
        <v>54918.0</v>
      </c>
      <c r="F22" s="183">
        <v>21532.0</v>
      </c>
      <c r="G22" s="184">
        <v>48367.0</v>
      </c>
      <c r="H22" s="184">
        <v>42090.0</v>
      </c>
      <c r="I22" s="185">
        <v>1312.0</v>
      </c>
      <c r="J22" s="183">
        <v>7110.0</v>
      </c>
      <c r="K22" s="183">
        <v>19650.0</v>
      </c>
      <c r="L22" s="185">
        <v>8210.0</v>
      </c>
      <c r="M22" s="183">
        <v>8.0</v>
      </c>
      <c r="N22" s="183">
        <v>3.0</v>
      </c>
      <c r="O22" s="184">
        <v>55012.0</v>
      </c>
      <c r="P22" s="184">
        <v>6234.0</v>
      </c>
      <c r="Q22" s="185">
        <v>15204.0</v>
      </c>
      <c r="R22" s="199">
        <v>1.1827353E7</v>
      </c>
      <c r="S22" s="200">
        <f t="shared" si="1"/>
        <v>0.04624745518</v>
      </c>
      <c r="T22" s="185">
        <v>6411476.0</v>
      </c>
      <c r="U22" s="201">
        <f t="shared" si="2"/>
        <v>0.5420888342</v>
      </c>
      <c r="V22" s="185">
        <v>5415877.0</v>
      </c>
      <c r="W22" s="188">
        <v>5118338.0</v>
      </c>
      <c r="X22" s="202">
        <f t="shared" si="3"/>
        <v>0.4327543111</v>
      </c>
      <c r="Y22" s="188">
        <v>1492350.0</v>
      </c>
      <c r="Z22" s="204">
        <f t="shared" si="4"/>
        <v>0.1261778523</v>
      </c>
      <c r="AA22" s="188">
        <v>5153185.0</v>
      </c>
      <c r="AB22" s="204">
        <f t="shared" si="5"/>
        <v>0.435700617</v>
      </c>
      <c r="AC22" s="204">
        <f t="shared" si="6"/>
        <v>0.005367219529</v>
      </c>
      <c r="AE22" s="183">
        <v>431386.0</v>
      </c>
      <c r="AF22" s="205">
        <f t="shared" si="7"/>
        <v>0.04537503091</v>
      </c>
      <c r="AG22" s="206">
        <f t="shared" si="8"/>
        <v>27.41709977</v>
      </c>
      <c r="AI22" s="183">
        <v>246055.0</v>
      </c>
      <c r="AJ22" s="190">
        <v>0.5703824417111357</v>
      </c>
      <c r="AK22" s="183">
        <v>185331.0</v>
      </c>
      <c r="AL22" s="185">
        <v>189346.0</v>
      </c>
      <c r="AM22" s="219">
        <f t="shared" si="9"/>
        <v>0.4389247681</v>
      </c>
      <c r="AN22" s="114">
        <v>154212.0</v>
      </c>
      <c r="AO22" s="220">
        <f t="shared" si="10"/>
        <v>0.8144455124</v>
      </c>
      <c r="AP22" s="114">
        <v>9711.0</v>
      </c>
      <c r="AQ22" s="114">
        <v>42772.0</v>
      </c>
      <c r="AR22" s="220">
        <f t="shared" si="11"/>
        <v>0.09915018104</v>
      </c>
      <c r="AS22" s="114">
        <v>189512.0</v>
      </c>
      <c r="AT22" s="220">
        <f t="shared" si="12"/>
        <v>0.4393095743</v>
      </c>
      <c r="AU22" s="208">
        <f t="shared" si="13"/>
        <v>-0.0003848061829</v>
      </c>
      <c r="AV22" s="35">
        <v>64967.0</v>
      </c>
      <c r="AW22" s="201">
        <f t="shared" si="14"/>
        <v>0.3428120647</v>
      </c>
      <c r="AX22" s="185">
        <v>33.0</v>
      </c>
      <c r="AY22" s="185">
        <v>12.0</v>
      </c>
      <c r="AZ22" s="35">
        <v>210331.0</v>
      </c>
      <c r="BA22" s="35">
        <v>103336.0</v>
      </c>
      <c r="BB22" s="35">
        <v>117719.0</v>
      </c>
      <c r="BC22" s="192"/>
      <c r="BD22" s="190">
        <f t="shared" si="15"/>
        <v>0.5823183877</v>
      </c>
      <c r="BE22" s="183">
        <v>251204.0</v>
      </c>
      <c r="BF22" s="35">
        <v>94839.0</v>
      </c>
      <c r="BG22" s="208">
        <f t="shared" si="16"/>
        <v>0.5008767019</v>
      </c>
      <c r="BH22" s="35">
        <v>72406.0</v>
      </c>
      <c r="BI22" s="35">
        <v>137732.0</v>
      </c>
      <c r="BJ22" s="208">
        <f t="shared" si="17"/>
        <v>0.7267719195</v>
      </c>
      <c r="BK22" s="222">
        <f t="shared" si="18"/>
        <v>0.2258952175</v>
      </c>
      <c r="BL22" s="35">
        <v>43483.0</v>
      </c>
      <c r="BM22" s="208">
        <f t="shared" si="19"/>
        <v>0.3157073157</v>
      </c>
      <c r="BN22" s="35">
        <v>124279.0</v>
      </c>
      <c r="BO22" s="35">
        <v>79350.0</v>
      </c>
      <c r="BP22" s="35">
        <v>47575.0</v>
      </c>
      <c r="BQ22" s="35">
        <v>123328.0</v>
      </c>
      <c r="BR22" s="35">
        <v>127876.0</v>
      </c>
      <c r="BS22" s="190">
        <v>0.10265533028122956</v>
      </c>
      <c r="BT22" s="183">
        <v>7848.0</v>
      </c>
      <c r="BU22" s="185">
        <v>6727.0</v>
      </c>
      <c r="BV22" s="209">
        <f t="shared" si="20"/>
        <v>0.1390824322</v>
      </c>
      <c r="BW22" s="201">
        <f t="shared" si="24"/>
        <v>0.8571610601</v>
      </c>
      <c r="BX22" s="185">
        <v>63.0</v>
      </c>
      <c r="BY22" s="185">
        <v>350.0</v>
      </c>
      <c r="BZ22" s="185">
        <v>708.0</v>
      </c>
      <c r="CA22" s="185">
        <v>0.0</v>
      </c>
      <c r="CB22" s="185">
        <v>0.0</v>
      </c>
      <c r="CC22" s="35">
        <v>6915.0</v>
      </c>
      <c r="CD22" s="201">
        <f t="shared" si="25"/>
        <v>0.881116208</v>
      </c>
      <c r="CE22" s="210"/>
      <c r="CF22" s="211">
        <f t="shared" si="26"/>
        <v>0</v>
      </c>
      <c r="CG22" s="194">
        <v>933.0</v>
      </c>
      <c r="CH22" s="195">
        <v>7530.0</v>
      </c>
      <c r="CI22" s="224">
        <v>6177.0</v>
      </c>
      <c r="CJ22" s="196">
        <v>6681.0</v>
      </c>
      <c r="CK22" s="195">
        <v>43.0</v>
      </c>
      <c r="CL22" s="195">
        <v>275.0</v>
      </c>
      <c r="CM22" s="198"/>
      <c r="CN22" s="198"/>
      <c r="CO22" s="198"/>
      <c r="CP22" s="197"/>
      <c r="CQ22" s="197"/>
    </row>
    <row r="23" ht="14.25" customHeight="1">
      <c r="A23" s="181" t="s">
        <v>148</v>
      </c>
      <c r="B23" s="182">
        <v>928.0</v>
      </c>
      <c r="C23" s="182" t="s">
        <v>168</v>
      </c>
      <c r="D23" s="183">
        <v>16240.0</v>
      </c>
      <c r="E23" s="183">
        <v>12917.0</v>
      </c>
      <c r="F23" s="183">
        <v>3323.0</v>
      </c>
      <c r="G23" s="184">
        <v>4910.0</v>
      </c>
      <c r="H23" s="184">
        <v>3999.0</v>
      </c>
      <c r="I23" s="185">
        <v>100.0</v>
      </c>
      <c r="J23" s="183">
        <v>7183.0</v>
      </c>
      <c r="K23" s="183">
        <v>3164.0</v>
      </c>
      <c r="L23" s="185">
        <v>2299.0</v>
      </c>
      <c r="M23" s="183">
        <v>3.0</v>
      </c>
      <c r="N23" s="183">
        <v>880.0</v>
      </c>
      <c r="O23" s="184">
        <v>10681.0</v>
      </c>
      <c r="P23" s="184">
        <v>2854.0</v>
      </c>
      <c r="Q23" s="185">
        <v>2705.0</v>
      </c>
      <c r="R23" s="199">
        <v>5854948.0</v>
      </c>
      <c r="S23" s="200">
        <f t="shared" si="1"/>
        <v>0.02289408672</v>
      </c>
      <c r="T23" s="185">
        <v>4275542.0</v>
      </c>
      <c r="U23" s="201">
        <f t="shared" si="2"/>
        <v>0.730244231</v>
      </c>
      <c r="V23" s="185">
        <v>1579406.0</v>
      </c>
      <c r="W23" s="188">
        <v>1792259.0</v>
      </c>
      <c r="X23" s="202">
        <f t="shared" si="3"/>
        <v>0.3061101482</v>
      </c>
      <c r="Y23" s="188">
        <v>2828548.0</v>
      </c>
      <c r="Z23" s="204">
        <f t="shared" si="4"/>
        <v>0.4831038636</v>
      </c>
      <c r="AA23" s="188">
        <v>1624221.0</v>
      </c>
      <c r="AB23" s="204">
        <f t="shared" si="5"/>
        <v>0.2774099787</v>
      </c>
      <c r="AC23" s="204">
        <f t="shared" si="6"/>
        <v>-0.06662399051</v>
      </c>
      <c r="AE23" s="183">
        <v>268473.0</v>
      </c>
      <c r="AF23" s="205">
        <f t="shared" si="7"/>
        <v>0.02823914238</v>
      </c>
      <c r="AG23" s="206">
        <f t="shared" si="8"/>
        <v>21.80833082</v>
      </c>
      <c r="AI23" s="183">
        <v>200211.0</v>
      </c>
      <c r="AJ23" s="190">
        <v>0.7457397950631907</v>
      </c>
      <c r="AK23" s="183">
        <v>68262.0</v>
      </c>
      <c r="AL23" s="185">
        <v>74671.0</v>
      </c>
      <c r="AM23" s="207">
        <f t="shared" si="9"/>
        <v>0.2781322517</v>
      </c>
      <c r="AN23" s="35">
        <v>58301.0</v>
      </c>
      <c r="AO23" s="208">
        <f t="shared" si="10"/>
        <v>0.7807716516</v>
      </c>
      <c r="AP23" s="35">
        <v>2168.0</v>
      </c>
      <c r="AQ23" s="35">
        <v>116295.0</v>
      </c>
      <c r="AR23" s="68">
        <f t="shared" si="11"/>
        <v>0.4331720508</v>
      </c>
      <c r="AS23" s="35">
        <v>67961.0</v>
      </c>
      <c r="AT23" s="208">
        <f t="shared" si="12"/>
        <v>0.2531390494</v>
      </c>
      <c r="AU23" s="208">
        <f t="shared" si="13"/>
        <v>0.0249932023</v>
      </c>
      <c r="AV23" s="35">
        <v>44159.0</v>
      </c>
      <c r="AW23" s="201">
        <f t="shared" si="14"/>
        <v>0.6497697209</v>
      </c>
      <c r="AX23" s="185">
        <v>20.0</v>
      </c>
      <c r="AY23" s="185">
        <v>7358.0</v>
      </c>
      <c r="AZ23" s="35">
        <v>96524.0</v>
      </c>
      <c r="BA23" s="35">
        <v>86860.0</v>
      </c>
      <c r="BB23" s="35">
        <v>85089.0</v>
      </c>
      <c r="BC23" s="192"/>
      <c r="BD23" s="190">
        <f t="shared" si="15"/>
        <v>0.7944374295</v>
      </c>
      <c r="BE23" s="183">
        <v>213285.0</v>
      </c>
      <c r="BF23" s="35">
        <v>56474.0</v>
      </c>
      <c r="BG23" s="208">
        <f t="shared" si="16"/>
        <v>0.7563043216</v>
      </c>
      <c r="BH23" s="35">
        <v>43912.0</v>
      </c>
      <c r="BI23" s="35">
        <v>61285.0</v>
      </c>
      <c r="BJ23" s="208">
        <f t="shared" si="17"/>
        <v>0.90176719</v>
      </c>
      <c r="BK23" s="208">
        <f t="shared" si="18"/>
        <v>0.1454628684</v>
      </c>
      <c r="BL23" s="35">
        <v>39508.0</v>
      </c>
      <c r="BM23" s="208">
        <f t="shared" si="19"/>
        <v>0.6446601942</v>
      </c>
      <c r="BN23" s="35">
        <v>79194.0</v>
      </c>
      <c r="BO23" s="35">
        <v>73660.0</v>
      </c>
      <c r="BP23" s="35">
        <v>60431.0</v>
      </c>
      <c r="BQ23" s="35">
        <v>156638.0</v>
      </c>
      <c r="BR23" s="35">
        <v>56647.0</v>
      </c>
      <c r="BS23" s="190">
        <v>0.019088669950738917</v>
      </c>
      <c r="BT23" s="183">
        <v>310.0</v>
      </c>
      <c r="BU23" s="185">
        <v>188.0</v>
      </c>
      <c r="BV23" s="209">
        <f t="shared" si="20"/>
        <v>0.0382892057</v>
      </c>
      <c r="BW23" s="201">
        <f t="shared" si="24"/>
        <v>0.6064516129</v>
      </c>
      <c r="BX23" s="185">
        <v>16.0</v>
      </c>
      <c r="BY23" s="185">
        <v>50.0</v>
      </c>
      <c r="BZ23" s="185">
        <v>37.0</v>
      </c>
      <c r="CA23" s="185">
        <v>0.0</v>
      </c>
      <c r="CB23" s="185">
        <v>19.0</v>
      </c>
      <c r="CC23" s="35">
        <v>290.0</v>
      </c>
      <c r="CD23" s="201">
        <f t="shared" si="25"/>
        <v>0.935483871</v>
      </c>
      <c r="CE23" s="210"/>
      <c r="CF23" s="211">
        <f t="shared" si="26"/>
        <v>0</v>
      </c>
      <c r="CG23" s="194">
        <v>20.0</v>
      </c>
      <c r="CH23" s="195">
        <v>295.0</v>
      </c>
      <c r="CI23" s="195">
        <v>276.0</v>
      </c>
      <c r="CJ23" s="196">
        <v>185.0</v>
      </c>
      <c r="CK23" s="195">
        <v>10.0</v>
      </c>
      <c r="CL23" s="195">
        <v>5.0</v>
      </c>
      <c r="CM23" s="198"/>
      <c r="CN23" s="198"/>
      <c r="CO23" s="198"/>
      <c r="CP23" s="197"/>
      <c r="CQ23" s="197"/>
    </row>
    <row r="24" ht="14.25" customHeight="1">
      <c r="A24" s="181" t="s">
        <v>148</v>
      </c>
      <c r="B24" s="182">
        <v>844.0</v>
      </c>
      <c r="C24" s="182" t="s">
        <v>169</v>
      </c>
      <c r="D24" s="183">
        <v>978.0</v>
      </c>
      <c r="E24" s="183">
        <v>914.0</v>
      </c>
      <c r="F24" s="183">
        <v>64.0</v>
      </c>
      <c r="G24" s="184">
        <v>832.0</v>
      </c>
      <c r="H24" s="184">
        <v>795.0</v>
      </c>
      <c r="I24" s="185">
        <v>6.0</v>
      </c>
      <c r="J24" s="183">
        <v>28.0</v>
      </c>
      <c r="K24" s="183">
        <v>112.0</v>
      </c>
      <c r="L24" s="185">
        <v>85.0</v>
      </c>
      <c r="M24" s="185">
        <v>0.0</v>
      </c>
      <c r="N24" s="185">
        <v>0.0</v>
      </c>
      <c r="O24" s="184">
        <v>806.0</v>
      </c>
      <c r="P24" s="184">
        <v>100.0</v>
      </c>
      <c r="Q24" s="185">
        <v>72.0</v>
      </c>
      <c r="R24" s="199">
        <v>49070.0</v>
      </c>
      <c r="S24" s="200">
        <f t="shared" si="1"/>
        <v>0.0001918740927</v>
      </c>
      <c r="T24" s="185">
        <v>35428.0</v>
      </c>
      <c r="U24" s="201">
        <f t="shared" si="2"/>
        <v>0.7219889953</v>
      </c>
      <c r="V24" s="185">
        <v>13642.0</v>
      </c>
      <c r="W24" s="216">
        <v>26868.0</v>
      </c>
      <c r="X24" s="202">
        <f t="shared" si="3"/>
        <v>0.5475443244</v>
      </c>
      <c r="Y24" s="188">
        <v>718.0</v>
      </c>
      <c r="Z24" s="204">
        <f t="shared" si="4"/>
        <v>0.01463215814</v>
      </c>
      <c r="AA24" s="188">
        <v>29758.0</v>
      </c>
      <c r="AB24" s="204">
        <f t="shared" si="5"/>
        <v>0.6064397799</v>
      </c>
      <c r="AC24" s="204">
        <f t="shared" si="6"/>
        <v>-0.1686162625</v>
      </c>
      <c r="AE24" s="183">
        <v>6155.0</v>
      </c>
      <c r="AF24" s="205">
        <f t="shared" si="7"/>
        <v>0.0006474093162</v>
      </c>
      <c r="AG24" s="206">
        <f t="shared" si="8"/>
        <v>7.972380179</v>
      </c>
      <c r="AI24" s="183">
        <v>5301.0</v>
      </c>
      <c r="AJ24" s="190">
        <v>0.861251015434606</v>
      </c>
      <c r="AK24" s="183">
        <v>854.0</v>
      </c>
      <c r="AL24" s="185">
        <v>4361.0</v>
      </c>
      <c r="AM24" s="207">
        <f t="shared" si="9"/>
        <v>0.7085296507</v>
      </c>
      <c r="AN24" s="35">
        <v>3998.0</v>
      </c>
      <c r="AO24" s="208">
        <f t="shared" si="10"/>
        <v>0.9167622105</v>
      </c>
      <c r="AP24" s="35">
        <v>122.0</v>
      </c>
      <c r="AQ24" s="35">
        <v>79.0</v>
      </c>
      <c r="AR24" s="208">
        <f t="shared" si="11"/>
        <v>0.01283509342</v>
      </c>
      <c r="AS24" s="35">
        <v>1593.0</v>
      </c>
      <c r="AT24" s="208">
        <f t="shared" si="12"/>
        <v>0.2588139724</v>
      </c>
      <c r="AU24" s="208">
        <f t="shared" si="13"/>
        <v>0.4497156783</v>
      </c>
      <c r="AV24" s="35">
        <v>1102.0</v>
      </c>
      <c r="AW24" s="201">
        <f t="shared" si="14"/>
        <v>0.6917765223</v>
      </c>
      <c r="AX24" s="185">
        <v>0.0</v>
      </c>
      <c r="AY24" s="185">
        <v>0.0</v>
      </c>
      <c r="AZ24" s="35">
        <v>3482.0</v>
      </c>
      <c r="BA24" s="35">
        <v>1663.0</v>
      </c>
      <c r="BB24" s="35">
        <v>1010.0</v>
      </c>
      <c r="BC24" s="192"/>
      <c r="BD24" s="190">
        <f t="shared" si="15"/>
        <v>0.5072298944</v>
      </c>
      <c r="BE24" s="183">
        <v>3122.0</v>
      </c>
      <c r="BF24" s="35">
        <v>2023.0</v>
      </c>
      <c r="BG24" s="208">
        <f t="shared" si="16"/>
        <v>0.4638844302</v>
      </c>
      <c r="BH24" s="35">
        <v>1789.0</v>
      </c>
      <c r="BI24" s="35">
        <v>1058.0</v>
      </c>
      <c r="BJ24" s="208">
        <f t="shared" si="17"/>
        <v>0.6641556811</v>
      </c>
      <c r="BK24" s="208">
        <f t="shared" si="18"/>
        <v>0.2002712509</v>
      </c>
      <c r="BL24" s="35">
        <v>734.0</v>
      </c>
      <c r="BM24" s="208">
        <f t="shared" si="19"/>
        <v>0.6937618147</v>
      </c>
      <c r="BN24" s="35">
        <v>1812.0</v>
      </c>
      <c r="BO24" s="35">
        <v>939.0</v>
      </c>
      <c r="BP24" s="35">
        <v>371.0</v>
      </c>
      <c r="BQ24" s="35">
        <v>2564.0</v>
      </c>
      <c r="BR24" s="35">
        <v>558.0</v>
      </c>
      <c r="BS24" s="190">
        <v>0.06952965235173825</v>
      </c>
      <c r="BT24" s="183">
        <v>68.0</v>
      </c>
      <c r="BU24" s="185">
        <v>62.0</v>
      </c>
      <c r="BV24" s="209">
        <f t="shared" si="20"/>
        <v>0.07451923077</v>
      </c>
      <c r="BW24" s="201">
        <f t="shared" si="24"/>
        <v>0.9117647059</v>
      </c>
      <c r="BX24" s="185">
        <v>0.0</v>
      </c>
      <c r="BY24" s="185">
        <v>6.0</v>
      </c>
      <c r="BZ24" s="185">
        <v>0.0</v>
      </c>
      <c r="CA24" s="185">
        <v>0.0</v>
      </c>
      <c r="CB24" s="185">
        <v>0.0</v>
      </c>
      <c r="CC24" s="35">
        <v>67.0</v>
      </c>
      <c r="CD24" s="201">
        <f t="shared" si="25"/>
        <v>0.9852941176</v>
      </c>
      <c r="CE24" s="210"/>
      <c r="CF24" s="211">
        <f t="shared" si="26"/>
        <v>0</v>
      </c>
      <c r="CG24" s="194">
        <v>1.0</v>
      </c>
      <c r="CH24" s="195">
        <v>68.0</v>
      </c>
      <c r="CI24" s="195">
        <v>67.0</v>
      </c>
      <c r="CJ24" s="196">
        <v>62.0</v>
      </c>
      <c r="CK24" s="195">
        <v>0.0</v>
      </c>
      <c r="CL24" s="195">
        <v>0.0</v>
      </c>
      <c r="CM24" s="198"/>
      <c r="CN24" s="198"/>
      <c r="CO24" s="198"/>
      <c r="CP24" s="197"/>
      <c r="CQ24" s="197"/>
    </row>
    <row r="25" ht="14.25" customHeight="1">
      <c r="A25" s="181" t="s">
        <v>146</v>
      </c>
      <c r="B25" s="182">
        <v>851.0</v>
      </c>
      <c r="C25" s="182" t="s">
        <v>170</v>
      </c>
      <c r="D25" s="183">
        <v>38.0</v>
      </c>
      <c r="E25" s="183">
        <v>38.0</v>
      </c>
      <c r="F25" s="183">
        <v>0.0</v>
      </c>
      <c r="G25" s="184">
        <v>36.0</v>
      </c>
      <c r="H25" s="184">
        <v>36.0</v>
      </c>
      <c r="I25" s="185">
        <v>2.0</v>
      </c>
      <c r="J25" s="185">
        <v>0.0</v>
      </c>
      <c r="K25" s="185">
        <v>0.0</v>
      </c>
      <c r="L25" s="185">
        <v>0.0</v>
      </c>
      <c r="M25" s="185">
        <v>0.0</v>
      </c>
      <c r="N25" s="185">
        <v>0.0</v>
      </c>
      <c r="O25" s="184">
        <v>25.0</v>
      </c>
      <c r="P25" s="184">
        <v>4.0</v>
      </c>
      <c r="Q25" s="185">
        <v>9.0</v>
      </c>
      <c r="R25" s="199">
        <v>12004.0</v>
      </c>
      <c r="S25" s="200">
        <f t="shared" si="1"/>
        <v>0.00004693818236</v>
      </c>
      <c r="T25" s="185">
        <v>12004.0</v>
      </c>
      <c r="U25" s="201">
        <f t="shared" si="2"/>
        <v>1</v>
      </c>
      <c r="V25" s="226">
        <v>0.0</v>
      </c>
      <c r="W25" s="188">
        <v>13068.0</v>
      </c>
      <c r="X25" s="202">
        <f t="shared" si="3"/>
        <v>1.088637121</v>
      </c>
      <c r="Y25" s="188">
        <v>0.0</v>
      </c>
      <c r="Z25" s="204">
        <f t="shared" si="4"/>
        <v>0</v>
      </c>
      <c r="AA25" s="188">
        <v>0.0</v>
      </c>
      <c r="AB25" s="204">
        <f t="shared" si="5"/>
        <v>0</v>
      </c>
      <c r="AC25" s="204">
        <f t="shared" si="6"/>
        <v>-0.08863712096</v>
      </c>
      <c r="AE25" s="183">
        <v>806.0</v>
      </c>
      <c r="AF25" s="205">
        <f t="shared" si="7"/>
        <v>0.00008477853921</v>
      </c>
      <c r="AG25" s="206">
        <f t="shared" si="8"/>
        <v>14.89330025</v>
      </c>
      <c r="AI25" s="183">
        <v>806.0</v>
      </c>
      <c r="AJ25" s="190">
        <v>1.0</v>
      </c>
      <c r="AK25" s="183">
        <v>0.0</v>
      </c>
      <c r="AL25" s="185">
        <v>775.0</v>
      </c>
      <c r="AM25" s="207">
        <f t="shared" si="9"/>
        <v>0.9615384615</v>
      </c>
      <c r="AN25" s="35">
        <v>775.0</v>
      </c>
      <c r="AO25" s="208">
        <f t="shared" si="10"/>
        <v>1</v>
      </c>
      <c r="AP25" s="35">
        <v>31.0</v>
      </c>
      <c r="AQ25" s="35">
        <v>0.0</v>
      </c>
      <c r="AR25" s="208">
        <f t="shared" si="11"/>
        <v>0</v>
      </c>
      <c r="AS25" s="185">
        <v>0.0</v>
      </c>
      <c r="AT25" s="208">
        <f t="shared" si="12"/>
        <v>0</v>
      </c>
      <c r="AU25" s="208">
        <f t="shared" si="13"/>
        <v>0.9615384615</v>
      </c>
      <c r="AV25" s="185">
        <v>0.0</v>
      </c>
      <c r="AW25" s="201" t="str">
        <f t="shared" si="14"/>
        <v>#DIV/0!</v>
      </c>
      <c r="AX25" s="185">
        <v>0.0</v>
      </c>
      <c r="AY25" s="185">
        <v>0.0</v>
      </c>
      <c r="AZ25" s="35">
        <v>397.0</v>
      </c>
      <c r="BA25" s="35">
        <v>113.0</v>
      </c>
      <c r="BB25" s="35">
        <v>296.0</v>
      </c>
      <c r="BC25" s="192"/>
      <c r="BD25" s="190">
        <f t="shared" si="15"/>
        <v>0.5248138958</v>
      </c>
      <c r="BE25" s="183">
        <v>423.0</v>
      </c>
      <c r="BF25" s="35">
        <v>413.0</v>
      </c>
      <c r="BG25" s="208">
        <f t="shared" si="16"/>
        <v>0.5329032258</v>
      </c>
      <c r="BH25" s="35">
        <v>413.0</v>
      </c>
      <c r="BI25" s="35">
        <v>0.0</v>
      </c>
      <c r="BJ25" s="208">
        <v>0.0</v>
      </c>
      <c r="BK25" s="208">
        <f t="shared" si="18"/>
        <v>-0.5329032258</v>
      </c>
      <c r="BL25" s="35">
        <v>0.0</v>
      </c>
      <c r="BM25" s="208">
        <v>0.0</v>
      </c>
      <c r="BN25" s="35">
        <v>234.0</v>
      </c>
      <c r="BO25" s="35">
        <v>62.0</v>
      </c>
      <c r="BP25" s="35">
        <v>127.0</v>
      </c>
      <c r="BQ25" s="35">
        <v>423.0</v>
      </c>
      <c r="BR25" s="35">
        <v>0.0</v>
      </c>
      <c r="BS25" s="190">
        <v>0.0</v>
      </c>
      <c r="BT25" s="183">
        <v>0.0</v>
      </c>
      <c r="BU25" s="185">
        <v>0.0</v>
      </c>
      <c r="BV25" s="209">
        <f t="shared" si="20"/>
        <v>0</v>
      </c>
      <c r="BW25" s="201">
        <v>0.0</v>
      </c>
      <c r="BX25" s="185">
        <v>0.0</v>
      </c>
      <c r="BY25" s="185">
        <v>0.0</v>
      </c>
      <c r="BZ25" s="185">
        <v>0.0</v>
      </c>
      <c r="CA25" s="185">
        <v>0.0</v>
      </c>
      <c r="CB25" s="185">
        <v>0.0</v>
      </c>
      <c r="CC25" s="185">
        <v>0.0</v>
      </c>
      <c r="CD25" s="201">
        <v>0.0</v>
      </c>
      <c r="CE25" s="221"/>
      <c r="CF25" s="211">
        <f t="shared" si="26"/>
        <v>0</v>
      </c>
      <c r="CG25" s="194">
        <v>0.0</v>
      </c>
      <c r="CH25" s="195">
        <v>0.0</v>
      </c>
      <c r="CI25" s="195">
        <v>0.0</v>
      </c>
      <c r="CJ25" s="196">
        <v>0.0</v>
      </c>
      <c r="CK25" s="195">
        <v>0.0</v>
      </c>
      <c r="CL25" s="195">
        <v>0.0</v>
      </c>
      <c r="CM25" s="198"/>
      <c r="CN25" s="198"/>
      <c r="CO25" s="198"/>
      <c r="CP25" s="197"/>
      <c r="CQ25" s="197"/>
    </row>
    <row r="26" ht="14.25" customHeight="1">
      <c r="A26" s="181" t="s">
        <v>155</v>
      </c>
      <c r="B26" s="182">
        <v>771.0</v>
      </c>
      <c r="C26" s="182" t="s">
        <v>171</v>
      </c>
      <c r="D26" s="183">
        <v>125582.0</v>
      </c>
      <c r="E26" s="183">
        <v>104010.0</v>
      </c>
      <c r="F26" s="183">
        <v>21572.0</v>
      </c>
      <c r="G26" s="184">
        <v>66809.0</v>
      </c>
      <c r="H26" s="184">
        <v>62221.0</v>
      </c>
      <c r="I26" s="185">
        <v>25886.0</v>
      </c>
      <c r="J26" s="183">
        <v>740.0</v>
      </c>
      <c r="K26" s="183">
        <v>30345.0</v>
      </c>
      <c r="L26" s="185">
        <v>16222.0</v>
      </c>
      <c r="M26" s="183">
        <v>1755.0</v>
      </c>
      <c r="N26" s="183">
        <v>47.0</v>
      </c>
      <c r="O26" s="184">
        <v>100003.0</v>
      </c>
      <c r="P26" s="184">
        <v>11382.0</v>
      </c>
      <c r="Q26" s="185">
        <v>14197.0</v>
      </c>
      <c r="R26" s="199">
        <v>1.5427286E7</v>
      </c>
      <c r="S26" s="200">
        <f t="shared" si="1"/>
        <v>0.06032395565</v>
      </c>
      <c r="T26" s="185">
        <v>1.0299728E7</v>
      </c>
      <c r="U26" s="201">
        <f t="shared" si="2"/>
        <v>0.6676305865</v>
      </c>
      <c r="V26" s="185">
        <v>5127558.0</v>
      </c>
      <c r="W26" s="188">
        <v>7044651.0</v>
      </c>
      <c r="X26" s="202">
        <f t="shared" si="3"/>
        <v>0.4566357945</v>
      </c>
      <c r="Y26" s="188">
        <v>111896.0</v>
      </c>
      <c r="Z26" s="204">
        <f t="shared" si="4"/>
        <v>0.007253122811</v>
      </c>
      <c r="AA26" s="188">
        <v>6523496.0</v>
      </c>
      <c r="AB26" s="204">
        <f t="shared" si="5"/>
        <v>0.4228544152</v>
      </c>
      <c r="AC26" s="204">
        <f t="shared" si="6"/>
        <v>0.1132566674</v>
      </c>
      <c r="AE26" s="183">
        <v>601208.0</v>
      </c>
      <c r="AF26" s="205">
        <f t="shared" si="7"/>
        <v>0.06323763772</v>
      </c>
      <c r="AG26" s="206">
        <f t="shared" si="8"/>
        <v>25.66048023</v>
      </c>
      <c r="AI26" s="183">
        <v>388780.0</v>
      </c>
      <c r="AJ26" s="190">
        <v>0.6466647150403854</v>
      </c>
      <c r="AK26" s="183">
        <v>212428.0</v>
      </c>
      <c r="AL26" s="185">
        <v>233190.0</v>
      </c>
      <c r="AM26" s="207">
        <f t="shared" si="9"/>
        <v>0.3878690902</v>
      </c>
      <c r="AN26" s="35">
        <v>194392.0</v>
      </c>
      <c r="AO26" s="208">
        <f t="shared" si="10"/>
        <v>0.8336206527</v>
      </c>
      <c r="AP26" s="35">
        <v>70745.0</v>
      </c>
      <c r="AQ26" s="35">
        <v>4591.0</v>
      </c>
      <c r="AR26" s="208">
        <f t="shared" si="11"/>
        <v>0.007636292265</v>
      </c>
      <c r="AS26" s="35">
        <v>286418.0</v>
      </c>
      <c r="AT26" s="208">
        <f t="shared" si="12"/>
        <v>0.4764041729</v>
      </c>
      <c r="AU26" s="208">
        <f t="shared" si="13"/>
        <v>-0.0885350827</v>
      </c>
      <c r="AV26" s="35">
        <v>130328.0</v>
      </c>
      <c r="AW26" s="201">
        <f t="shared" si="14"/>
        <v>0.4550272678</v>
      </c>
      <c r="AX26" s="185">
        <v>6155.0</v>
      </c>
      <c r="AY26" s="185">
        <v>109.0</v>
      </c>
      <c r="AZ26" s="35">
        <v>352425.0</v>
      </c>
      <c r="BA26" s="35">
        <v>178987.0</v>
      </c>
      <c r="BB26" s="35">
        <v>69796.0</v>
      </c>
      <c r="BC26" s="192"/>
      <c r="BD26" s="190">
        <f t="shared" si="15"/>
        <v>0.4710965257</v>
      </c>
      <c r="BE26" s="183">
        <v>283227.0</v>
      </c>
      <c r="BF26" s="35">
        <v>80715.0</v>
      </c>
      <c r="BG26" s="208">
        <f t="shared" si="16"/>
        <v>0.3461340538</v>
      </c>
      <c r="BH26" s="35">
        <v>58626.0</v>
      </c>
      <c r="BI26" s="35">
        <v>172927.0</v>
      </c>
      <c r="BJ26" s="207">
        <f t="shared" ref="BJ26:BJ43" si="27">BI26/AS26</f>
        <v>0.6037574454</v>
      </c>
      <c r="BK26" s="207">
        <f t="shared" si="18"/>
        <v>0.2576233916</v>
      </c>
      <c r="BL26" s="191">
        <v>67759.0</v>
      </c>
      <c r="BM26" s="207">
        <f t="shared" ref="BM26:BM43" si="28">BL26/BI26</f>
        <v>0.3918358614</v>
      </c>
      <c r="BN26" s="35">
        <v>154711.0</v>
      </c>
      <c r="BO26" s="35">
        <v>103827.0</v>
      </c>
      <c r="BP26" s="35">
        <v>24689.0</v>
      </c>
      <c r="BQ26" s="35">
        <v>145998.0</v>
      </c>
      <c r="BR26" s="35">
        <v>137229.0</v>
      </c>
      <c r="BS26" s="190">
        <v>0.13242343647975027</v>
      </c>
      <c r="BT26" s="183">
        <v>16630.0</v>
      </c>
      <c r="BU26" s="185">
        <v>8769.0</v>
      </c>
      <c r="BV26" s="209">
        <f t="shared" si="20"/>
        <v>0.1312547711</v>
      </c>
      <c r="BW26" s="201">
        <f t="shared" ref="BW26:BW32" si="29">BU26/BT26</f>
        <v>0.5273000601</v>
      </c>
      <c r="BX26" s="185">
        <v>6663.0</v>
      </c>
      <c r="BY26" s="185">
        <v>155.0</v>
      </c>
      <c r="BZ26" s="185">
        <v>920.0</v>
      </c>
      <c r="CA26" s="185">
        <v>109.0</v>
      </c>
      <c r="CB26" s="185">
        <v>14.0</v>
      </c>
      <c r="CC26" s="35">
        <v>15919.0</v>
      </c>
      <c r="CD26" s="201">
        <f t="shared" ref="CD26:CD32" si="30">CC26/BT26</f>
        <v>0.9572459411</v>
      </c>
      <c r="CE26" s="210"/>
      <c r="CF26" s="211">
        <f t="shared" si="26"/>
        <v>0</v>
      </c>
      <c r="CG26" s="194">
        <v>711.0</v>
      </c>
      <c r="CH26" s="195">
        <v>14057.0</v>
      </c>
      <c r="CI26" s="195">
        <v>12325.0</v>
      </c>
      <c r="CJ26" s="196">
        <v>6840.0</v>
      </c>
      <c r="CK26" s="195">
        <v>51.0</v>
      </c>
      <c r="CL26" s="195">
        <v>2522.0</v>
      </c>
      <c r="CM26" s="198"/>
      <c r="CN26" s="198"/>
      <c r="CO26" s="198"/>
      <c r="CP26" s="197"/>
      <c r="CQ26" s="197"/>
    </row>
    <row r="27" ht="14.25" customHeight="1">
      <c r="A27" s="181" t="s">
        <v>150</v>
      </c>
      <c r="B27" s="182">
        <v>928.0</v>
      </c>
      <c r="C27" s="182" t="s">
        <v>172</v>
      </c>
      <c r="D27" s="183">
        <v>109605.0</v>
      </c>
      <c r="E27" s="183">
        <v>81903.0</v>
      </c>
      <c r="F27" s="183">
        <v>27702.0</v>
      </c>
      <c r="G27" s="184">
        <v>64873.0</v>
      </c>
      <c r="H27" s="184">
        <v>58698.0</v>
      </c>
      <c r="I27" s="185">
        <v>766.0</v>
      </c>
      <c r="J27" s="183">
        <v>24037.0</v>
      </c>
      <c r="K27" s="183">
        <v>19268.0</v>
      </c>
      <c r="L27" s="185">
        <v>8794.0</v>
      </c>
      <c r="M27" s="183">
        <v>41.0</v>
      </c>
      <c r="N27" s="183">
        <v>620.0</v>
      </c>
      <c r="O27" s="184">
        <v>80882.0</v>
      </c>
      <c r="P27" s="184">
        <v>17512.0</v>
      </c>
      <c r="Q27" s="185">
        <v>11211.0</v>
      </c>
      <c r="R27" s="199">
        <v>2.2060834E7</v>
      </c>
      <c r="S27" s="200">
        <f t="shared" si="1"/>
        <v>0.08626253327</v>
      </c>
      <c r="T27" s="185">
        <v>1.1093286E7</v>
      </c>
      <c r="U27" s="201">
        <f t="shared" si="2"/>
        <v>0.5028498016</v>
      </c>
      <c r="V27" s="185">
        <v>1.0967548E7</v>
      </c>
      <c r="W27" s="188">
        <v>5529401.0</v>
      </c>
      <c r="X27" s="202">
        <f t="shared" si="3"/>
        <v>0.2506433347</v>
      </c>
      <c r="Y27" s="188">
        <v>1.0238929E7</v>
      </c>
      <c r="Z27" s="204">
        <f t="shared" si="4"/>
        <v>0.4641224806</v>
      </c>
      <c r="AA27" s="188">
        <v>6392405.0</v>
      </c>
      <c r="AB27" s="204">
        <f t="shared" si="5"/>
        <v>0.2897626173</v>
      </c>
      <c r="AC27" s="204">
        <f t="shared" si="6"/>
        <v>-0.004528432606</v>
      </c>
      <c r="AE27" s="183">
        <v>748589.0</v>
      </c>
      <c r="AF27" s="205">
        <f t="shared" si="7"/>
        <v>0.07873980383</v>
      </c>
      <c r="AG27" s="206">
        <f t="shared" si="8"/>
        <v>29.46988802</v>
      </c>
      <c r="AI27" s="183">
        <v>423150.0</v>
      </c>
      <c r="AJ27" s="190">
        <v>0.5652634489686597</v>
      </c>
      <c r="AK27" s="183">
        <v>325439.0</v>
      </c>
      <c r="AL27" s="185">
        <v>232553.0</v>
      </c>
      <c r="AM27" s="219">
        <f t="shared" si="9"/>
        <v>0.3106551125</v>
      </c>
      <c r="AN27" s="114">
        <v>194241.0</v>
      </c>
      <c r="AO27" s="220">
        <f t="shared" si="10"/>
        <v>0.8352547591</v>
      </c>
      <c r="AP27" s="114">
        <v>9956.0</v>
      </c>
      <c r="AQ27" s="114">
        <v>286748.0</v>
      </c>
      <c r="AR27" s="227">
        <f t="shared" si="11"/>
        <v>0.3830513139</v>
      </c>
      <c r="AS27" s="114">
        <v>215300.0</v>
      </c>
      <c r="AT27" s="220">
        <f t="shared" si="12"/>
        <v>0.2876077527</v>
      </c>
      <c r="AU27" s="208">
        <f t="shared" si="13"/>
        <v>0.02304735977</v>
      </c>
      <c r="AV27" s="35">
        <v>80508.0</v>
      </c>
      <c r="AW27" s="201">
        <f t="shared" si="14"/>
        <v>0.3739340455</v>
      </c>
      <c r="AX27" s="185">
        <v>136.0</v>
      </c>
      <c r="AY27" s="185">
        <v>3896.0</v>
      </c>
      <c r="AZ27" s="35">
        <v>361387.0</v>
      </c>
      <c r="BA27" s="35">
        <v>306358.0</v>
      </c>
      <c r="BB27" s="35">
        <v>80844.0</v>
      </c>
      <c r="BC27" s="192"/>
      <c r="BD27" s="190">
        <f t="shared" si="15"/>
        <v>0.4841014228</v>
      </c>
      <c r="BE27" s="183">
        <v>362393.0</v>
      </c>
      <c r="BF27" s="35">
        <v>90649.0</v>
      </c>
      <c r="BG27" s="208">
        <f t="shared" si="16"/>
        <v>0.3897993146</v>
      </c>
      <c r="BH27" s="35">
        <v>68295.0</v>
      </c>
      <c r="BI27" s="35">
        <v>161743.0</v>
      </c>
      <c r="BJ27" s="208">
        <f t="shared" si="27"/>
        <v>0.7512447747</v>
      </c>
      <c r="BK27" s="222">
        <f t="shared" si="18"/>
        <v>0.3614454602</v>
      </c>
      <c r="BL27" s="35">
        <v>52976.0</v>
      </c>
      <c r="BM27" s="208">
        <f t="shared" si="28"/>
        <v>0.3275319488</v>
      </c>
      <c r="BN27" s="35">
        <v>182038.0</v>
      </c>
      <c r="BO27" s="35">
        <v>146129.0</v>
      </c>
      <c r="BP27" s="35">
        <v>34226.0</v>
      </c>
      <c r="BQ27" s="35">
        <v>155744.0</v>
      </c>
      <c r="BR27" s="35">
        <v>206649.0</v>
      </c>
      <c r="BS27" s="190">
        <v>0.05388440308380092</v>
      </c>
      <c r="BT27" s="183">
        <v>5906.0</v>
      </c>
      <c r="BU27" s="185">
        <v>5541.0</v>
      </c>
      <c r="BV27" s="209">
        <f t="shared" si="20"/>
        <v>0.08541303778</v>
      </c>
      <c r="BW27" s="201">
        <f t="shared" si="29"/>
        <v>0.9381984423</v>
      </c>
      <c r="BX27" s="185">
        <v>3.0</v>
      </c>
      <c r="BY27" s="185">
        <v>182.0</v>
      </c>
      <c r="BZ27" s="185">
        <v>170.0</v>
      </c>
      <c r="CA27" s="185">
        <v>2.0</v>
      </c>
      <c r="CB27" s="185">
        <v>8.0</v>
      </c>
      <c r="CC27" s="35">
        <v>5426.0</v>
      </c>
      <c r="CD27" s="201">
        <f t="shared" si="30"/>
        <v>0.9187267186</v>
      </c>
      <c r="CE27" s="210"/>
      <c r="CF27" s="211">
        <f t="shared" si="26"/>
        <v>0</v>
      </c>
      <c r="CG27" s="194">
        <v>480.0</v>
      </c>
      <c r="CH27" s="195">
        <v>5740.0</v>
      </c>
      <c r="CI27" s="195">
        <v>5475.0</v>
      </c>
      <c r="CJ27" s="196">
        <v>5521.0</v>
      </c>
      <c r="CK27" s="195">
        <v>27.0</v>
      </c>
      <c r="CL27" s="195">
        <v>139.0</v>
      </c>
      <c r="CM27" s="198"/>
      <c r="CN27" s="198"/>
      <c r="CO27" s="198"/>
      <c r="CP27" s="197"/>
      <c r="CQ27" s="197"/>
    </row>
    <row r="28" ht="14.25" customHeight="1">
      <c r="A28" s="181" t="s">
        <v>150</v>
      </c>
      <c r="B28" s="182">
        <v>741.0</v>
      </c>
      <c r="C28" s="182" t="s">
        <v>173</v>
      </c>
      <c r="D28" s="183">
        <v>4617.0</v>
      </c>
      <c r="E28" s="183">
        <v>3989.0</v>
      </c>
      <c r="F28" s="183">
        <v>628.0</v>
      </c>
      <c r="G28" s="184">
        <v>1900.0</v>
      </c>
      <c r="H28" s="184">
        <v>1658.0</v>
      </c>
      <c r="I28" s="185">
        <v>989.0</v>
      </c>
      <c r="J28" s="183">
        <v>583.0</v>
      </c>
      <c r="K28" s="183">
        <v>1010.0</v>
      </c>
      <c r="L28" s="185">
        <v>745.0</v>
      </c>
      <c r="M28" s="183">
        <v>17.0</v>
      </c>
      <c r="N28" s="183">
        <v>118.0</v>
      </c>
      <c r="O28" s="184">
        <v>3348.0</v>
      </c>
      <c r="P28" s="184">
        <v>1006.0</v>
      </c>
      <c r="Q28" s="185">
        <v>263.0</v>
      </c>
      <c r="R28" s="199">
        <v>631471.0</v>
      </c>
      <c r="S28" s="200">
        <f t="shared" si="1"/>
        <v>0.002469185351</v>
      </c>
      <c r="T28" s="185">
        <v>470164.0</v>
      </c>
      <c r="U28" s="201">
        <f t="shared" si="2"/>
        <v>0.74455359</v>
      </c>
      <c r="V28" s="185">
        <v>161307.0</v>
      </c>
      <c r="W28" s="188">
        <v>158830.0</v>
      </c>
      <c r="X28" s="202">
        <f t="shared" si="3"/>
        <v>0.2515238229</v>
      </c>
      <c r="Y28" s="188">
        <v>30452.0</v>
      </c>
      <c r="Z28" s="204">
        <f t="shared" si="4"/>
        <v>0.04822390894</v>
      </c>
      <c r="AA28" s="188">
        <v>430166.0</v>
      </c>
      <c r="AB28" s="204">
        <f t="shared" si="5"/>
        <v>0.6812125973</v>
      </c>
      <c r="AC28" s="204">
        <f t="shared" si="6"/>
        <v>0.01903967086</v>
      </c>
      <c r="AE28" s="183">
        <v>42684.0</v>
      </c>
      <c r="AF28" s="205">
        <f t="shared" si="7"/>
        <v>0.004489686312</v>
      </c>
      <c r="AG28" s="206">
        <f t="shared" si="8"/>
        <v>14.79409146</v>
      </c>
      <c r="AI28" s="183">
        <v>32868.0</v>
      </c>
      <c r="AJ28" s="190">
        <v>0.7700309249367444</v>
      </c>
      <c r="AK28" s="183">
        <v>9816.0</v>
      </c>
      <c r="AL28" s="185">
        <v>12184.0</v>
      </c>
      <c r="AM28" s="219">
        <f t="shared" si="9"/>
        <v>0.2854465373</v>
      </c>
      <c r="AN28" s="114">
        <v>8975.0</v>
      </c>
      <c r="AO28" s="220">
        <f t="shared" si="10"/>
        <v>0.7366217991</v>
      </c>
      <c r="AP28" s="114">
        <v>5853.0</v>
      </c>
      <c r="AQ28" s="114">
        <v>2616.0</v>
      </c>
      <c r="AR28" s="220">
        <f t="shared" si="11"/>
        <v>0.06128760191</v>
      </c>
      <c r="AS28" s="114">
        <v>20784.0</v>
      </c>
      <c r="AT28" s="220">
        <f t="shared" si="12"/>
        <v>0.4869271858</v>
      </c>
      <c r="AU28" s="208">
        <f t="shared" si="13"/>
        <v>-0.2014806485</v>
      </c>
      <c r="AV28" s="35">
        <v>15002.0</v>
      </c>
      <c r="AW28" s="201">
        <f t="shared" si="14"/>
        <v>0.7218052348</v>
      </c>
      <c r="AX28" s="185">
        <v>113.0</v>
      </c>
      <c r="AY28" s="185">
        <v>1134.0</v>
      </c>
      <c r="AZ28" s="35">
        <v>17914.0</v>
      </c>
      <c r="BA28" s="35">
        <v>20543.0</v>
      </c>
      <c r="BB28" s="35">
        <v>4227.0</v>
      </c>
      <c r="BC28" s="192"/>
      <c r="BD28" s="190">
        <f t="shared" si="15"/>
        <v>0.5430606316</v>
      </c>
      <c r="BE28" s="183">
        <v>23180.0</v>
      </c>
      <c r="BF28" s="35">
        <v>6422.0</v>
      </c>
      <c r="BG28" s="208">
        <f t="shared" si="16"/>
        <v>0.5270847012</v>
      </c>
      <c r="BH28" s="35">
        <v>4516.0</v>
      </c>
      <c r="BI28" s="35">
        <v>11915.0</v>
      </c>
      <c r="BJ28" s="207">
        <f t="shared" si="27"/>
        <v>0.5732775212</v>
      </c>
      <c r="BK28" s="207">
        <f t="shared" si="18"/>
        <v>0.04619281992</v>
      </c>
      <c r="BL28" s="191">
        <v>8490.0</v>
      </c>
      <c r="BM28" s="207">
        <f t="shared" si="28"/>
        <v>0.7125472094</v>
      </c>
      <c r="BN28" s="35">
        <v>9523.0</v>
      </c>
      <c r="BO28" s="35">
        <v>11541.0</v>
      </c>
      <c r="BP28" s="35">
        <v>2116.0</v>
      </c>
      <c r="BQ28" s="35">
        <v>17393.0</v>
      </c>
      <c r="BR28" s="35">
        <v>5787.0</v>
      </c>
      <c r="BS28" s="190">
        <v>0.03205544726012562</v>
      </c>
      <c r="BT28" s="183">
        <v>148.0</v>
      </c>
      <c r="BU28" s="185">
        <v>117.0</v>
      </c>
      <c r="BV28" s="209">
        <f t="shared" si="20"/>
        <v>0.06157894737</v>
      </c>
      <c r="BW28" s="201">
        <f t="shared" si="29"/>
        <v>0.7905405405</v>
      </c>
      <c r="BX28" s="185">
        <v>14.0</v>
      </c>
      <c r="BY28" s="185">
        <v>16.0</v>
      </c>
      <c r="BZ28" s="185">
        <v>0.0</v>
      </c>
      <c r="CA28" s="185">
        <v>0.0</v>
      </c>
      <c r="CB28" s="185">
        <v>1.0</v>
      </c>
      <c r="CC28" s="35">
        <v>143.0</v>
      </c>
      <c r="CD28" s="201">
        <f t="shared" si="30"/>
        <v>0.9662162162</v>
      </c>
      <c r="CE28" s="210"/>
      <c r="CF28" s="211">
        <f t="shared" si="26"/>
        <v>0</v>
      </c>
      <c r="CG28" s="194">
        <v>5.0</v>
      </c>
      <c r="CH28" s="195">
        <v>147.0</v>
      </c>
      <c r="CI28" s="195">
        <v>133.0</v>
      </c>
      <c r="CJ28" s="196">
        <v>116.0</v>
      </c>
      <c r="CK28" s="195">
        <v>1.0</v>
      </c>
      <c r="CL28" s="195">
        <v>0.0</v>
      </c>
      <c r="CM28" s="198"/>
      <c r="CN28" s="198"/>
      <c r="CO28" s="198"/>
      <c r="CP28" s="197"/>
      <c r="CQ28" s="197"/>
    </row>
    <row r="29" ht="14.25" customHeight="1">
      <c r="A29" s="181" t="s">
        <v>155</v>
      </c>
      <c r="B29" s="182">
        <v>716.0</v>
      </c>
      <c r="C29" s="182" t="s">
        <v>174</v>
      </c>
      <c r="D29" s="183">
        <v>14600.0</v>
      </c>
      <c r="E29" s="183">
        <v>13545.0</v>
      </c>
      <c r="F29" s="183">
        <v>1055.0</v>
      </c>
      <c r="G29" s="184">
        <v>7765.0</v>
      </c>
      <c r="H29" s="184">
        <v>7413.0</v>
      </c>
      <c r="I29" s="185">
        <v>18.0</v>
      </c>
      <c r="J29" s="183">
        <v>4172.0</v>
      </c>
      <c r="K29" s="183">
        <v>2120.0</v>
      </c>
      <c r="L29" s="185">
        <v>1867.0</v>
      </c>
      <c r="M29" s="185">
        <v>0.0</v>
      </c>
      <c r="N29" s="183">
        <v>525.0</v>
      </c>
      <c r="O29" s="184">
        <v>9452.0</v>
      </c>
      <c r="P29" s="184">
        <v>221.0</v>
      </c>
      <c r="Q29" s="185">
        <v>4927.0</v>
      </c>
      <c r="R29" s="199">
        <v>954938.0</v>
      </c>
      <c r="S29" s="200">
        <f t="shared" si="1"/>
        <v>0.003734009829</v>
      </c>
      <c r="T29" s="185">
        <v>790779.0</v>
      </c>
      <c r="U29" s="201">
        <f t="shared" si="2"/>
        <v>0.8280945988</v>
      </c>
      <c r="V29" s="185">
        <v>164159.0</v>
      </c>
      <c r="W29" s="188">
        <v>468141.0</v>
      </c>
      <c r="X29" s="202">
        <f t="shared" si="3"/>
        <v>0.4902318266</v>
      </c>
      <c r="Y29" s="188">
        <v>384856.0</v>
      </c>
      <c r="Z29" s="204">
        <f t="shared" si="4"/>
        <v>0.4030167404</v>
      </c>
      <c r="AA29" s="188">
        <v>265667.0</v>
      </c>
      <c r="AB29" s="204">
        <f t="shared" si="5"/>
        <v>0.2782034017</v>
      </c>
      <c r="AC29" s="204">
        <f t="shared" si="6"/>
        <v>-0.1714519686</v>
      </c>
      <c r="AE29" s="183">
        <v>55160.0</v>
      </c>
      <c r="AF29" s="205">
        <f t="shared" si="7"/>
        <v>0.005801965537</v>
      </c>
      <c r="AG29" s="206">
        <f t="shared" si="8"/>
        <v>17.31214648</v>
      </c>
      <c r="AI29" s="183">
        <v>47175.0</v>
      </c>
      <c r="AJ29" s="190">
        <v>0.8552393038433648</v>
      </c>
      <c r="AK29" s="183">
        <v>7985.0</v>
      </c>
      <c r="AL29" s="185">
        <v>22549.0</v>
      </c>
      <c r="AM29" s="207">
        <f t="shared" si="9"/>
        <v>0.4087926033</v>
      </c>
      <c r="AN29" s="35">
        <v>20796.0</v>
      </c>
      <c r="AO29" s="208">
        <f t="shared" si="10"/>
        <v>0.9222581933</v>
      </c>
      <c r="AP29" s="35">
        <v>352.0</v>
      </c>
      <c r="AQ29" s="35">
        <v>17658.0</v>
      </c>
      <c r="AR29" s="68">
        <f t="shared" si="11"/>
        <v>0.3201232777</v>
      </c>
      <c r="AS29" s="35">
        <v>12209.0</v>
      </c>
      <c r="AT29" s="208">
        <f t="shared" si="12"/>
        <v>0.221337926</v>
      </c>
      <c r="AU29" s="208">
        <f t="shared" si="13"/>
        <v>0.1874546773</v>
      </c>
      <c r="AV29" s="35">
        <v>9441.0</v>
      </c>
      <c r="AW29" s="201">
        <f t="shared" si="14"/>
        <v>0.7732820051</v>
      </c>
      <c r="AX29" s="185">
        <v>0.0</v>
      </c>
      <c r="AY29" s="185">
        <v>2392.0</v>
      </c>
      <c r="AZ29" s="35">
        <v>25965.0</v>
      </c>
      <c r="BA29" s="35">
        <v>3923.0</v>
      </c>
      <c r="BB29" s="35">
        <v>25272.0</v>
      </c>
      <c r="BC29" s="192"/>
      <c r="BD29" s="190">
        <f t="shared" si="15"/>
        <v>0.5842458303</v>
      </c>
      <c r="BE29" s="183">
        <v>32227.0</v>
      </c>
      <c r="BF29" s="35">
        <v>12093.0</v>
      </c>
      <c r="BG29" s="208">
        <f t="shared" si="16"/>
        <v>0.5362987272</v>
      </c>
      <c r="BH29" s="35">
        <v>10819.0</v>
      </c>
      <c r="BI29" s="35">
        <v>8572.0</v>
      </c>
      <c r="BJ29" s="208">
        <f t="shared" si="27"/>
        <v>0.7021050045</v>
      </c>
      <c r="BK29" s="208">
        <f t="shared" si="18"/>
        <v>0.1658062773</v>
      </c>
      <c r="BL29" s="35">
        <v>6364.0</v>
      </c>
      <c r="BM29" s="208">
        <f t="shared" si="28"/>
        <v>0.7424171722</v>
      </c>
      <c r="BN29" s="35">
        <v>16189.0</v>
      </c>
      <c r="BO29" s="35">
        <v>2839.0</v>
      </c>
      <c r="BP29" s="35">
        <v>13199.0</v>
      </c>
      <c r="BQ29" s="35">
        <v>26456.0</v>
      </c>
      <c r="BR29" s="35">
        <v>5771.0</v>
      </c>
      <c r="BS29" s="190">
        <v>0.09041095890410959</v>
      </c>
      <c r="BT29" s="183">
        <v>1320.0</v>
      </c>
      <c r="BU29" s="185">
        <v>549.0</v>
      </c>
      <c r="BV29" s="209">
        <f t="shared" si="20"/>
        <v>0.07070186735</v>
      </c>
      <c r="BW29" s="201">
        <f t="shared" si="29"/>
        <v>0.4159090909</v>
      </c>
      <c r="BX29" s="185">
        <v>0.0</v>
      </c>
      <c r="BY29" s="185">
        <v>557.0</v>
      </c>
      <c r="BZ29" s="185">
        <v>177.0</v>
      </c>
      <c r="CA29" s="185">
        <v>0.0</v>
      </c>
      <c r="CB29" s="185">
        <v>37.0</v>
      </c>
      <c r="CC29" s="35">
        <v>1290.0</v>
      </c>
      <c r="CD29" s="201">
        <f t="shared" si="30"/>
        <v>0.9772727273</v>
      </c>
      <c r="CE29" s="210"/>
      <c r="CF29" s="211">
        <f t="shared" si="26"/>
        <v>0</v>
      </c>
      <c r="CG29" s="194">
        <v>30.0</v>
      </c>
      <c r="CH29" s="195">
        <v>1260.0</v>
      </c>
      <c r="CI29" s="195">
        <v>1257.0</v>
      </c>
      <c r="CJ29" s="196">
        <v>542.0</v>
      </c>
      <c r="CK29" s="195">
        <v>0.0</v>
      </c>
      <c r="CL29" s="195">
        <v>60.0</v>
      </c>
      <c r="CM29" s="198"/>
      <c r="CN29" s="198"/>
      <c r="CO29" s="198"/>
      <c r="CP29" s="197"/>
      <c r="CQ29" s="197"/>
    </row>
    <row r="30" ht="14.25" customHeight="1">
      <c r="A30" s="181" t="s">
        <v>150</v>
      </c>
      <c r="B30" s="182">
        <v>765.0</v>
      </c>
      <c r="C30" s="182" t="s">
        <v>175</v>
      </c>
      <c r="D30" s="183">
        <v>3911.0</v>
      </c>
      <c r="E30" s="183">
        <v>2646.0</v>
      </c>
      <c r="F30" s="183">
        <v>1265.0</v>
      </c>
      <c r="G30" s="184">
        <v>2545.0</v>
      </c>
      <c r="H30" s="184">
        <v>1915.0</v>
      </c>
      <c r="I30" s="185">
        <v>18.0</v>
      </c>
      <c r="J30" s="183">
        <v>230.0</v>
      </c>
      <c r="K30" s="183">
        <v>1034.0</v>
      </c>
      <c r="L30" s="185">
        <v>551.0</v>
      </c>
      <c r="M30" s="185">
        <v>0.0</v>
      </c>
      <c r="N30" s="183">
        <v>84.0</v>
      </c>
      <c r="O30" s="184">
        <v>1919.0</v>
      </c>
      <c r="P30" s="184">
        <v>16.0</v>
      </c>
      <c r="Q30" s="185">
        <v>1976.0</v>
      </c>
      <c r="R30" s="199">
        <v>277337.0</v>
      </c>
      <c r="S30" s="200">
        <f t="shared" si="1"/>
        <v>0.001084446408</v>
      </c>
      <c r="T30" s="185">
        <v>141731.0</v>
      </c>
      <c r="U30" s="201">
        <f t="shared" si="2"/>
        <v>0.5110425223</v>
      </c>
      <c r="V30" s="185">
        <v>135606.0</v>
      </c>
      <c r="W30" s="188">
        <v>138474.0</v>
      </c>
      <c r="X30" s="202">
        <f t="shared" si="3"/>
        <v>0.4992986872</v>
      </c>
      <c r="Y30" s="188">
        <v>22096.0</v>
      </c>
      <c r="Z30" s="204">
        <f t="shared" si="4"/>
        <v>0.07967202357</v>
      </c>
      <c r="AA30" s="188">
        <v>137212.0</v>
      </c>
      <c r="AB30" s="204">
        <f t="shared" si="5"/>
        <v>0.4947482665</v>
      </c>
      <c r="AC30" s="204">
        <f t="shared" si="6"/>
        <v>-0.07371897727</v>
      </c>
      <c r="AE30" s="183">
        <v>23366.0</v>
      </c>
      <c r="AF30" s="205">
        <f t="shared" si="7"/>
        <v>0.002457736163</v>
      </c>
      <c r="AG30" s="206">
        <f t="shared" si="8"/>
        <v>11.86925447</v>
      </c>
      <c r="AI30" s="183">
        <v>13358.0</v>
      </c>
      <c r="AJ30" s="190">
        <v>0.5716853547890097</v>
      </c>
      <c r="AK30" s="183">
        <v>10008.0</v>
      </c>
      <c r="AL30" s="185">
        <v>13357.0</v>
      </c>
      <c r="AM30" s="207">
        <f t="shared" si="9"/>
        <v>0.5716425576</v>
      </c>
      <c r="AN30" s="35">
        <v>8831.0</v>
      </c>
      <c r="AO30" s="208">
        <f t="shared" si="10"/>
        <v>0.6611514562</v>
      </c>
      <c r="AP30" s="35">
        <v>244.0</v>
      </c>
      <c r="AQ30" s="35">
        <v>1850.0</v>
      </c>
      <c r="AR30" s="208">
        <f t="shared" si="11"/>
        <v>0.07917486947</v>
      </c>
      <c r="AS30" s="35">
        <v>7375.0</v>
      </c>
      <c r="AT30" s="208">
        <f t="shared" si="12"/>
        <v>0.3156295472</v>
      </c>
      <c r="AU30" s="208">
        <f t="shared" si="13"/>
        <v>0.2560130104</v>
      </c>
      <c r="AV30" s="35">
        <v>3348.0</v>
      </c>
      <c r="AW30" s="201">
        <f t="shared" si="14"/>
        <v>0.4539661017</v>
      </c>
      <c r="AX30" s="185">
        <v>0.0</v>
      </c>
      <c r="AY30" s="185">
        <v>540.0</v>
      </c>
      <c r="AZ30" s="35">
        <v>10166.0</v>
      </c>
      <c r="BA30" s="35">
        <v>267.0</v>
      </c>
      <c r="BB30" s="35">
        <v>12933.0</v>
      </c>
      <c r="BC30" s="192"/>
      <c r="BD30" s="190">
        <f t="shared" si="15"/>
        <v>0.4711974664</v>
      </c>
      <c r="BE30" s="183">
        <v>11010.0</v>
      </c>
      <c r="BF30" s="35">
        <v>5831.0</v>
      </c>
      <c r="BG30" s="208">
        <f t="shared" si="16"/>
        <v>0.4365501235</v>
      </c>
      <c r="BH30" s="35">
        <v>3415.0</v>
      </c>
      <c r="BI30" s="35">
        <v>4086.0</v>
      </c>
      <c r="BJ30" s="207">
        <f t="shared" si="27"/>
        <v>0.5540338983</v>
      </c>
      <c r="BK30" s="207">
        <f t="shared" si="18"/>
        <v>0.1174837748</v>
      </c>
      <c r="BL30" s="191">
        <v>1675.0</v>
      </c>
      <c r="BM30" s="207">
        <f t="shared" si="28"/>
        <v>0.4099363681</v>
      </c>
      <c r="BN30" s="35">
        <v>5714.0</v>
      </c>
      <c r="BO30" s="35">
        <v>138.0</v>
      </c>
      <c r="BP30" s="35">
        <v>5158.0</v>
      </c>
      <c r="BQ30" s="35">
        <v>5497.0</v>
      </c>
      <c r="BR30" s="35">
        <v>5513.0</v>
      </c>
      <c r="BS30" s="190">
        <v>0.015597034006647916</v>
      </c>
      <c r="BT30" s="183">
        <v>61.0</v>
      </c>
      <c r="BU30" s="185">
        <v>50.0</v>
      </c>
      <c r="BV30" s="209">
        <f t="shared" si="20"/>
        <v>0.01964636542</v>
      </c>
      <c r="BW30" s="201">
        <f t="shared" si="29"/>
        <v>0.8196721311</v>
      </c>
      <c r="BX30" s="185">
        <v>0.0</v>
      </c>
      <c r="BY30" s="185">
        <v>0.0</v>
      </c>
      <c r="BZ30" s="185">
        <v>9.0</v>
      </c>
      <c r="CA30" s="185">
        <v>0.0</v>
      </c>
      <c r="CB30" s="185">
        <v>2.0</v>
      </c>
      <c r="CC30" s="35">
        <v>48.0</v>
      </c>
      <c r="CD30" s="201">
        <f t="shared" si="30"/>
        <v>0.7868852459</v>
      </c>
      <c r="CE30" s="210"/>
      <c r="CF30" s="211">
        <f t="shared" si="26"/>
        <v>0</v>
      </c>
      <c r="CG30" s="194">
        <v>13.0</v>
      </c>
      <c r="CH30" s="195">
        <v>50.0</v>
      </c>
      <c r="CI30" s="195">
        <v>49.0</v>
      </c>
      <c r="CJ30" s="196">
        <v>43.0</v>
      </c>
      <c r="CK30" s="195">
        <v>0.0</v>
      </c>
      <c r="CL30" s="195">
        <v>11.0</v>
      </c>
      <c r="CM30" s="198"/>
      <c r="CN30" s="198"/>
      <c r="CO30" s="198"/>
      <c r="CP30" s="197"/>
      <c r="CQ30" s="197"/>
    </row>
    <row r="31" ht="14.25" customHeight="1">
      <c r="A31" s="181" t="s">
        <v>150</v>
      </c>
      <c r="B31" s="182">
        <v>728.0</v>
      </c>
      <c r="C31" s="182" t="s">
        <v>176</v>
      </c>
      <c r="D31" s="183">
        <v>2718.0</v>
      </c>
      <c r="E31" s="183">
        <v>2182.0</v>
      </c>
      <c r="F31" s="183">
        <v>536.0</v>
      </c>
      <c r="G31" s="184">
        <v>1939.0</v>
      </c>
      <c r="H31" s="184">
        <v>1728.0</v>
      </c>
      <c r="I31" s="185">
        <v>21.0</v>
      </c>
      <c r="J31" s="185">
        <v>0.0</v>
      </c>
      <c r="K31" s="183">
        <v>757.0</v>
      </c>
      <c r="L31" s="185">
        <v>437.0</v>
      </c>
      <c r="M31" s="185">
        <v>0.0</v>
      </c>
      <c r="N31" s="183">
        <v>1.0</v>
      </c>
      <c r="O31" s="184">
        <v>1922.0</v>
      </c>
      <c r="P31" s="184">
        <v>596.0</v>
      </c>
      <c r="Q31" s="185">
        <v>200.0</v>
      </c>
      <c r="R31" s="199">
        <v>367175.0</v>
      </c>
      <c r="S31" s="200">
        <f t="shared" si="1"/>
        <v>0.001435732015</v>
      </c>
      <c r="T31" s="185">
        <v>184501.0</v>
      </c>
      <c r="U31" s="201">
        <f t="shared" si="2"/>
        <v>0.5024879145</v>
      </c>
      <c r="V31" s="185">
        <v>182674.0</v>
      </c>
      <c r="W31" s="216">
        <v>164324.0</v>
      </c>
      <c r="X31" s="202">
        <f t="shared" si="3"/>
        <v>0.4475359161</v>
      </c>
      <c r="Y31" s="188">
        <v>0.0</v>
      </c>
      <c r="Z31" s="204">
        <f t="shared" si="4"/>
        <v>0</v>
      </c>
      <c r="AA31" s="188">
        <v>273491.0</v>
      </c>
      <c r="AB31" s="204">
        <f t="shared" si="5"/>
        <v>0.7448519099</v>
      </c>
      <c r="AC31" s="204">
        <f t="shared" si="6"/>
        <v>-0.192387826</v>
      </c>
      <c r="AE31" s="183">
        <v>31402.0</v>
      </c>
      <c r="AF31" s="205">
        <f t="shared" si="7"/>
        <v>0.003302997132</v>
      </c>
      <c r="AG31" s="206">
        <f t="shared" si="8"/>
        <v>11.69272658</v>
      </c>
      <c r="AI31" s="183">
        <v>20814.0</v>
      </c>
      <c r="AJ31" s="190">
        <v>0.6628240239475193</v>
      </c>
      <c r="AK31" s="183">
        <v>10588.0</v>
      </c>
      <c r="AL31" s="185">
        <v>18726.0</v>
      </c>
      <c r="AM31" s="207">
        <f t="shared" si="9"/>
        <v>0.5963314439</v>
      </c>
      <c r="AN31" s="35">
        <v>14925.0</v>
      </c>
      <c r="AO31" s="208">
        <f t="shared" si="10"/>
        <v>0.7970201858</v>
      </c>
      <c r="AP31" s="35">
        <v>331.0</v>
      </c>
      <c r="AQ31" s="35">
        <v>0.0</v>
      </c>
      <c r="AR31" s="208">
        <f t="shared" si="11"/>
        <v>0</v>
      </c>
      <c r="AS31" s="35">
        <v>12339.0</v>
      </c>
      <c r="AT31" s="208">
        <f t="shared" si="12"/>
        <v>0.3929367556</v>
      </c>
      <c r="AU31" s="208">
        <f t="shared" si="13"/>
        <v>0.2033946882</v>
      </c>
      <c r="AV31" s="35">
        <v>5634.0</v>
      </c>
      <c r="AW31" s="201">
        <f t="shared" si="14"/>
        <v>0.4566010212</v>
      </c>
      <c r="AX31" s="185">
        <v>0.0</v>
      </c>
      <c r="AY31" s="185">
        <v>6.0</v>
      </c>
      <c r="AZ31" s="35">
        <v>15413.0</v>
      </c>
      <c r="BA31" s="35">
        <v>12530.0</v>
      </c>
      <c r="BB31" s="35">
        <v>3459.0</v>
      </c>
      <c r="BC31" s="192"/>
      <c r="BD31" s="190">
        <f t="shared" si="15"/>
        <v>0.5556333991</v>
      </c>
      <c r="BE31" s="183">
        <v>17448.0</v>
      </c>
      <c r="BF31" s="35">
        <v>9340.0</v>
      </c>
      <c r="BG31" s="208">
        <f t="shared" si="16"/>
        <v>0.4987717612</v>
      </c>
      <c r="BH31" s="35">
        <v>6866.0</v>
      </c>
      <c r="BI31" s="35">
        <v>7996.0</v>
      </c>
      <c r="BJ31" s="208">
        <f t="shared" si="27"/>
        <v>0.6480265824</v>
      </c>
      <c r="BK31" s="208">
        <f t="shared" si="18"/>
        <v>0.1492548212</v>
      </c>
      <c r="BL31" s="35">
        <v>3461.0</v>
      </c>
      <c r="BM31" s="208">
        <f t="shared" si="28"/>
        <v>0.4328414207</v>
      </c>
      <c r="BN31" s="35">
        <v>8233.0</v>
      </c>
      <c r="BO31" s="35">
        <v>7602.0</v>
      </c>
      <c r="BP31" s="35">
        <v>1613.0</v>
      </c>
      <c r="BQ31" s="35">
        <v>10399.0</v>
      </c>
      <c r="BR31" s="35">
        <v>7049.0</v>
      </c>
      <c r="BS31" s="190">
        <v>0.010669610007358351</v>
      </c>
      <c r="BT31" s="183">
        <v>29.0</v>
      </c>
      <c r="BU31" s="185">
        <v>28.0</v>
      </c>
      <c r="BV31" s="209">
        <f t="shared" si="20"/>
        <v>0.01444043321</v>
      </c>
      <c r="BW31" s="201">
        <f t="shared" si="29"/>
        <v>0.9655172414</v>
      </c>
      <c r="BX31" s="185">
        <v>0.0</v>
      </c>
      <c r="BY31" s="185">
        <v>0.0</v>
      </c>
      <c r="BZ31" s="185">
        <v>1.0</v>
      </c>
      <c r="CA31" s="185">
        <v>0.0</v>
      </c>
      <c r="CB31" s="185">
        <v>0.0</v>
      </c>
      <c r="CC31" s="35">
        <v>28.0</v>
      </c>
      <c r="CD31" s="201">
        <f t="shared" si="30"/>
        <v>0.9655172414</v>
      </c>
      <c r="CE31" s="210"/>
      <c r="CF31" s="211">
        <f t="shared" si="26"/>
        <v>0</v>
      </c>
      <c r="CG31" s="194">
        <v>1.0</v>
      </c>
      <c r="CH31" s="195">
        <v>28.0</v>
      </c>
      <c r="CI31" s="195">
        <v>28.0</v>
      </c>
      <c r="CJ31" s="196">
        <v>28.0</v>
      </c>
      <c r="CK31" s="195">
        <v>0.0</v>
      </c>
      <c r="CL31" s="195">
        <v>1.0</v>
      </c>
      <c r="CM31" s="198"/>
      <c r="CN31" s="198"/>
      <c r="CO31" s="198"/>
      <c r="CP31" s="197"/>
      <c r="CQ31" s="197"/>
    </row>
    <row r="32" ht="14.25" customHeight="1">
      <c r="A32" s="181" t="s">
        <v>153</v>
      </c>
      <c r="B32" s="182">
        <v>877.0</v>
      </c>
      <c r="C32" s="182" t="s">
        <v>177</v>
      </c>
      <c r="D32" s="183">
        <v>62291.0</v>
      </c>
      <c r="E32" s="183">
        <v>57186.0</v>
      </c>
      <c r="F32" s="183">
        <v>5105.0</v>
      </c>
      <c r="G32" s="184">
        <v>47287.0</v>
      </c>
      <c r="H32" s="184">
        <v>44756.0</v>
      </c>
      <c r="I32" s="185">
        <v>1785.0</v>
      </c>
      <c r="J32" s="183">
        <v>5807.0</v>
      </c>
      <c r="K32" s="183">
        <v>6104.0</v>
      </c>
      <c r="L32" s="185">
        <v>4405.0</v>
      </c>
      <c r="M32" s="183">
        <v>22.0</v>
      </c>
      <c r="N32" s="183">
        <v>1286.0</v>
      </c>
      <c r="O32" s="184">
        <v>47876.0</v>
      </c>
      <c r="P32" s="184">
        <v>3945.0</v>
      </c>
      <c r="Q32" s="185">
        <v>10470.0</v>
      </c>
      <c r="R32" s="199">
        <v>7527517.0</v>
      </c>
      <c r="S32" s="200">
        <f t="shared" si="1"/>
        <v>0.02943418575</v>
      </c>
      <c r="T32" s="185">
        <v>6231235.0</v>
      </c>
      <c r="U32" s="201">
        <f t="shared" si="2"/>
        <v>0.8277942116</v>
      </c>
      <c r="V32" s="185">
        <v>1296282.0</v>
      </c>
      <c r="W32" s="188">
        <v>4772915.0</v>
      </c>
      <c r="X32" s="202">
        <f t="shared" si="3"/>
        <v>0.6340623342</v>
      </c>
      <c r="Y32" s="188">
        <v>858901.0</v>
      </c>
      <c r="Z32" s="204">
        <f t="shared" si="4"/>
        <v>0.1141015025</v>
      </c>
      <c r="AA32" s="188">
        <v>1361051.0</v>
      </c>
      <c r="AB32" s="204">
        <f t="shared" si="5"/>
        <v>0.1808100865</v>
      </c>
      <c r="AC32" s="204">
        <f t="shared" si="6"/>
        <v>0.07102607673</v>
      </c>
      <c r="AE32" s="183">
        <v>331336.0</v>
      </c>
      <c r="AF32" s="205">
        <f t="shared" si="7"/>
        <v>0.03485134251</v>
      </c>
      <c r="AG32" s="206">
        <f t="shared" si="8"/>
        <v>22.71868134</v>
      </c>
      <c r="AI32" s="183">
        <v>277394.0</v>
      </c>
      <c r="AJ32" s="190">
        <v>0.8371984933722867</v>
      </c>
      <c r="AK32" s="183">
        <v>53942.0</v>
      </c>
      <c r="AL32" s="185">
        <v>200077.0</v>
      </c>
      <c r="AM32" s="207">
        <f t="shared" si="9"/>
        <v>0.6038492648</v>
      </c>
      <c r="AN32" s="35">
        <v>183577.0</v>
      </c>
      <c r="AO32" s="208">
        <f t="shared" si="10"/>
        <v>0.9175317503</v>
      </c>
      <c r="AP32" s="35">
        <v>11284.0</v>
      </c>
      <c r="AQ32" s="35">
        <v>32204.0</v>
      </c>
      <c r="AR32" s="208">
        <f t="shared" si="11"/>
        <v>0.09719438878</v>
      </c>
      <c r="AS32" s="35">
        <v>78872.0</v>
      </c>
      <c r="AT32" s="208">
        <f t="shared" si="12"/>
        <v>0.2380423498</v>
      </c>
      <c r="AU32" s="208">
        <f t="shared" si="13"/>
        <v>0.365806915</v>
      </c>
      <c r="AV32" s="35">
        <v>49072.0</v>
      </c>
      <c r="AW32" s="201">
        <f t="shared" si="14"/>
        <v>0.6221726341</v>
      </c>
      <c r="AX32" s="185">
        <v>100.0</v>
      </c>
      <c r="AY32" s="185">
        <v>8799.0</v>
      </c>
      <c r="AZ32" s="35">
        <v>202445.0</v>
      </c>
      <c r="BA32" s="35">
        <v>60466.0</v>
      </c>
      <c r="BB32" s="35">
        <v>68425.0</v>
      </c>
      <c r="BC32" s="192"/>
      <c r="BD32" s="190">
        <f t="shared" si="15"/>
        <v>0.4644650747</v>
      </c>
      <c r="BE32" s="183">
        <v>153894.0</v>
      </c>
      <c r="BF32" s="35">
        <v>88604.0</v>
      </c>
      <c r="BG32" s="208">
        <f t="shared" si="16"/>
        <v>0.4428495029</v>
      </c>
      <c r="BH32" s="35">
        <v>76746.0</v>
      </c>
      <c r="BI32" s="35">
        <v>48129.0</v>
      </c>
      <c r="BJ32" s="207">
        <f t="shared" si="27"/>
        <v>0.6102165534</v>
      </c>
      <c r="BK32" s="207">
        <f t="shared" si="18"/>
        <v>0.1673670505</v>
      </c>
      <c r="BL32" s="191">
        <v>28212.0</v>
      </c>
      <c r="BM32" s="207">
        <f t="shared" si="28"/>
        <v>0.5861746556</v>
      </c>
      <c r="BN32" s="35">
        <v>100122.0</v>
      </c>
      <c r="BO32" s="35">
        <v>31906.0</v>
      </c>
      <c r="BP32" s="35">
        <v>21866.0</v>
      </c>
      <c r="BQ32" s="35">
        <v>117943.0</v>
      </c>
      <c r="BR32" s="35">
        <v>35951.0</v>
      </c>
      <c r="BS32" s="190">
        <v>0.050874123067537844</v>
      </c>
      <c r="BT32" s="183">
        <v>3169.0</v>
      </c>
      <c r="BU32" s="185">
        <v>2337.0</v>
      </c>
      <c r="BV32" s="209">
        <f t="shared" si="20"/>
        <v>0.04942161693</v>
      </c>
      <c r="BW32" s="201">
        <f t="shared" si="29"/>
        <v>0.7374566109</v>
      </c>
      <c r="BX32" s="185">
        <v>81.0</v>
      </c>
      <c r="BY32" s="185">
        <v>662.0</v>
      </c>
      <c r="BZ32" s="185">
        <v>51.0</v>
      </c>
      <c r="CA32" s="185">
        <v>0.0</v>
      </c>
      <c r="CB32" s="185">
        <v>38.0</v>
      </c>
      <c r="CC32" s="35">
        <v>2979.0</v>
      </c>
      <c r="CD32" s="201">
        <f t="shared" si="30"/>
        <v>0.940044178</v>
      </c>
      <c r="CE32" s="210"/>
      <c r="CF32" s="211">
        <f t="shared" si="26"/>
        <v>0</v>
      </c>
      <c r="CG32" s="194">
        <v>190.0</v>
      </c>
      <c r="CH32" s="195">
        <v>2461.0</v>
      </c>
      <c r="CI32" s="195">
        <v>2371.0</v>
      </c>
      <c r="CJ32" s="196">
        <v>2206.0</v>
      </c>
      <c r="CK32" s="195">
        <v>5.0</v>
      </c>
      <c r="CL32" s="195">
        <v>703.0</v>
      </c>
      <c r="CM32" s="198"/>
      <c r="CN32" s="198"/>
      <c r="CO32" s="198"/>
      <c r="CP32" s="197"/>
      <c r="CQ32" s="197"/>
    </row>
    <row r="33" ht="14.25" customHeight="1">
      <c r="A33" s="181" t="s">
        <v>159</v>
      </c>
      <c r="B33" s="182">
        <v>897.0</v>
      </c>
      <c r="C33" s="182" t="s">
        <v>178</v>
      </c>
      <c r="D33" s="183">
        <v>736.0</v>
      </c>
      <c r="E33" s="183">
        <v>394.0</v>
      </c>
      <c r="F33" s="183">
        <v>342.0</v>
      </c>
      <c r="G33" s="184">
        <v>412.0</v>
      </c>
      <c r="H33" s="184">
        <v>239.0</v>
      </c>
      <c r="I33" s="185">
        <v>10.0</v>
      </c>
      <c r="J33" s="183">
        <v>33.0</v>
      </c>
      <c r="K33" s="183">
        <v>281.0</v>
      </c>
      <c r="L33" s="185">
        <v>143.0</v>
      </c>
      <c r="M33" s="185">
        <v>0.0</v>
      </c>
      <c r="N33" s="185">
        <v>0.0</v>
      </c>
      <c r="O33" s="184">
        <v>348.0</v>
      </c>
      <c r="P33" s="184">
        <v>286.0</v>
      </c>
      <c r="Q33" s="185">
        <v>102.0</v>
      </c>
      <c r="R33" s="199">
        <v>233028.0</v>
      </c>
      <c r="S33" s="200">
        <f t="shared" si="1"/>
        <v>0.0009111888337</v>
      </c>
      <c r="T33" s="185">
        <v>100019.0</v>
      </c>
      <c r="U33" s="201">
        <f t="shared" si="2"/>
        <v>0.429214515</v>
      </c>
      <c r="V33" s="185">
        <v>133009.0</v>
      </c>
      <c r="W33" s="216">
        <v>90695.0</v>
      </c>
      <c r="X33" s="202">
        <f t="shared" si="3"/>
        <v>0.389202156</v>
      </c>
      <c r="Y33" s="188">
        <v>24198.0</v>
      </c>
      <c r="Z33" s="204">
        <f t="shared" si="4"/>
        <v>0.1038415984</v>
      </c>
      <c r="AA33" s="188">
        <v>133980.0</v>
      </c>
      <c r="AB33" s="204">
        <f t="shared" si="5"/>
        <v>0.5749523662</v>
      </c>
      <c r="AC33" s="204">
        <f t="shared" si="6"/>
        <v>-0.06799612064</v>
      </c>
      <c r="AE33" s="183">
        <v>12355.0</v>
      </c>
      <c r="AF33" s="205">
        <f t="shared" si="7"/>
        <v>0.001299551925</v>
      </c>
      <c r="AG33" s="206">
        <f t="shared" si="8"/>
        <v>18.86102792</v>
      </c>
      <c r="AI33" s="183">
        <v>5736.0</v>
      </c>
      <c r="AJ33" s="190">
        <v>0.46426547956292996</v>
      </c>
      <c r="AK33" s="183">
        <v>6619.0</v>
      </c>
      <c r="AL33" s="185">
        <v>4524.0</v>
      </c>
      <c r="AM33" s="219">
        <f t="shared" si="9"/>
        <v>0.3661675435</v>
      </c>
      <c r="AN33" s="114">
        <v>2552.0</v>
      </c>
      <c r="AO33" s="220">
        <f t="shared" si="10"/>
        <v>0.5641025641</v>
      </c>
      <c r="AP33" s="114">
        <v>206.0</v>
      </c>
      <c r="AQ33" s="114">
        <v>863.0</v>
      </c>
      <c r="AR33" s="220">
        <f t="shared" si="11"/>
        <v>0.06985026305</v>
      </c>
      <c r="AS33" s="114">
        <v>6762.0</v>
      </c>
      <c r="AT33" s="220">
        <f t="shared" si="12"/>
        <v>0.5473087819</v>
      </c>
      <c r="AU33" s="208">
        <f t="shared" si="13"/>
        <v>-0.1811412384</v>
      </c>
      <c r="AV33" s="35">
        <v>2860.0</v>
      </c>
      <c r="AW33" s="201">
        <f t="shared" si="14"/>
        <v>0.4229517894</v>
      </c>
      <c r="AX33" s="185">
        <v>0.0</v>
      </c>
      <c r="AY33" s="185">
        <v>0.0</v>
      </c>
      <c r="AZ33" s="35">
        <v>2606.0</v>
      </c>
      <c r="BA33" s="35">
        <v>7672.0</v>
      </c>
      <c r="BB33" s="35">
        <v>2077.0</v>
      </c>
      <c r="BC33" s="192"/>
      <c r="BD33" s="190">
        <f t="shared" si="15"/>
        <v>0.7506272764</v>
      </c>
      <c r="BE33" s="183">
        <v>9274.0</v>
      </c>
      <c r="BF33" s="35">
        <v>3040.0</v>
      </c>
      <c r="BG33" s="208">
        <f t="shared" si="16"/>
        <v>0.6719717065</v>
      </c>
      <c r="BH33" s="35">
        <v>1689.0</v>
      </c>
      <c r="BI33" s="35">
        <v>5398.0</v>
      </c>
      <c r="BJ33" s="208">
        <f t="shared" si="27"/>
        <v>0.7982845312</v>
      </c>
      <c r="BK33" s="208">
        <f t="shared" si="18"/>
        <v>0.1263128247</v>
      </c>
      <c r="BL33" s="35">
        <v>2271.0</v>
      </c>
      <c r="BM33" s="208">
        <f t="shared" si="28"/>
        <v>0.4207113746</v>
      </c>
      <c r="BN33" s="35">
        <v>2039.0</v>
      </c>
      <c r="BO33" s="35">
        <v>5996.0</v>
      </c>
      <c r="BP33" s="35">
        <v>1239.0</v>
      </c>
      <c r="BQ33" s="35">
        <v>4209.0</v>
      </c>
      <c r="BR33" s="35">
        <v>5065.0</v>
      </c>
      <c r="BS33" s="190">
        <v>0.0</v>
      </c>
      <c r="BT33" s="183">
        <v>0.0</v>
      </c>
      <c r="BU33" s="185">
        <v>0.0</v>
      </c>
      <c r="BV33" s="209">
        <f t="shared" si="20"/>
        <v>0</v>
      </c>
      <c r="BW33" s="201">
        <v>0.0</v>
      </c>
      <c r="BX33" s="185">
        <v>0.0</v>
      </c>
      <c r="BY33" s="185">
        <v>0.0</v>
      </c>
      <c r="BZ33" s="185">
        <v>0.0</v>
      </c>
      <c r="CA33" s="185">
        <v>0.0</v>
      </c>
      <c r="CB33" s="185">
        <v>0.0</v>
      </c>
      <c r="CC33" s="35">
        <v>0.0</v>
      </c>
      <c r="CD33" s="201">
        <v>0.0</v>
      </c>
      <c r="CE33" s="221"/>
      <c r="CF33" s="211">
        <f t="shared" si="26"/>
        <v>0</v>
      </c>
      <c r="CG33" s="194">
        <v>0.0</v>
      </c>
      <c r="CH33" s="224">
        <v>0.0</v>
      </c>
      <c r="CI33" s="195">
        <v>0.0</v>
      </c>
      <c r="CJ33" s="196">
        <v>0.0</v>
      </c>
      <c r="CK33" s="195">
        <v>0.0</v>
      </c>
      <c r="CL33" s="195">
        <v>0.0</v>
      </c>
      <c r="CM33" s="198"/>
      <c r="CN33" s="198"/>
      <c r="CO33" s="198"/>
      <c r="CP33" s="197"/>
      <c r="CQ33" s="197"/>
    </row>
    <row r="34" ht="14.25" customHeight="1">
      <c r="A34" s="181" t="s">
        <v>148</v>
      </c>
      <c r="B34" s="182">
        <v>928.0</v>
      </c>
      <c r="C34" s="182" t="s">
        <v>179</v>
      </c>
      <c r="D34" s="183">
        <v>27701.0</v>
      </c>
      <c r="E34" s="183">
        <v>21675.0</v>
      </c>
      <c r="F34" s="183">
        <v>6026.0</v>
      </c>
      <c r="G34" s="184">
        <v>19160.0</v>
      </c>
      <c r="H34" s="184">
        <v>17292.0</v>
      </c>
      <c r="I34" s="185">
        <v>99.0</v>
      </c>
      <c r="J34" s="183">
        <v>450.0</v>
      </c>
      <c r="K34" s="183">
        <v>7978.0</v>
      </c>
      <c r="L34" s="185">
        <v>4242.0</v>
      </c>
      <c r="M34" s="183">
        <v>14.0</v>
      </c>
      <c r="N34" s="185">
        <v>0.0</v>
      </c>
      <c r="O34" s="184">
        <v>15675.0</v>
      </c>
      <c r="P34" s="184">
        <v>5384.0</v>
      </c>
      <c r="Q34" s="185">
        <v>6642.0</v>
      </c>
      <c r="R34" s="199">
        <v>5352046.0</v>
      </c>
      <c r="S34" s="200">
        <f t="shared" si="1"/>
        <v>0.02092763339</v>
      </c>
      <c r="T34" s="185">
        <v>3182712.0</v>
      </c>
      <c r="U34" s="201">
        <f t="shared" si="2"/>
        <v>0.5946720189</v>
      </c>
      <c r="V34" s="185">
        <v>2169334.0</v>
      </c>
      <c r="W34" s="188">
        <v>3004301.0</v>
      </c>
      <c r="X34" s="202">
        <f t="shared" si="3"/>
        <v>0.5613369168</v>
      </c>
      <c r="Y34" s="188">
        <v>191635.0</v>
      </c>
      <c r="Z34" s="204">
        <f t="shared" si="4"/>
        <v>0.03580593291</v>
      </c>
      <c r="AA34" s="188">
        <v>2864397.0</v>
      </c>
      <c r="AB34" s="204">
        <f t="shared" si="5"/>
        <v>0.5351966332</v>
      </c>
      <c r="AC34" s="204">
        <f t="shared" si="6"/>
        <v>-0.1323394829</v>
      </c>
      <c r="AE34" s="183">
        <v>257134.0</v>
      </c>
      <c r="AF34" s="205">
        <f t="shared" si="7"/>
        <v>0.02704645769</v>
      </c>
      <c r="AG34" s="206">
        <f t="shared" si="8"/>
        <v>20.81422916</v>
      </c>
      <c r="AI34" s="183">
        <v>162591.0</v>
      </c>
      <c r="AJ34" s="190">
        <v>0.6323201132483453</v>
      </c>
      <c r="AK34" s="183">
        <v>94543.0</v>
      </c>
      <c r="AL34" s="185">
        <v>118713.0</v>
      </c>
      <c r="AM34" s="219">
        <f t="shared" si="9"/>
        <v>0.4616775689</v>
      </c>
      <c r="AN34" s="114">
        <v>94459.0</v>
      </c>
      <c r="AO34" s="220">
        <f t="shared" si="10"/>
        <v>0.7956921314</v>
      </c>
      <c r="AP34" s="114">
        <v>3003.0</v>
      </c>
      <c r="AQ34" s="114">
        <v>4711.0</v>
      </c>
      <c r="AR34" s="220">
        <f t="shared" si="11"/>
        <v>0.01832118662</v>
      </c>
      <c r="AS34" s="114">
        <v>130629.0</v>
      </c>
      <c r="AT34" s="220">
        <f t="shared" si="12"/>
        <v>0.5080191651</v>
      </c>
      <c r="AU34" s="208">
        <f t="shared" si="13"/>
        <v>-0.04634159621</v>
      </c>
      <c r="AV34" s="35">
        <v>66073.0</v>
      </c>
      <c r="AW34" s="201">
        <f t="shared" si="14"/>
        <v>0.5058065208</v>
      </c>
      <c r="AX34" s="185">
        <v>78.0</v>
      </c>
      <c r="AY34" s="185">
        <v>0.0</v>
      </c>
      <c r="AZ34" s="35">
        <v>66411.0</v>
      </c>
      <c r="BA34" s="35">
        <v>115464.0</v>
      </c>
      <c r="BB34" s="35">
        <v>75259.0</v>
      </c>
      <c r="BC34" s="192"/>
      <c r="BD34" s="190">
        <f t="shared" si="15"/>
        <v>0.7522653558</v>
      </c>
      <c r="BE34" s="183">
        <v>193433.0</v>
      </c>
      <c r="BF34" s="35">
        <v>75659.0</v>
      </c>
      <c r="BG34" s="208">
        <f t="shared" si="16"/>
        <v>0.6373269987</v>
      </c>
      <c r="BH34" s="35">
        <v>56685.0</v>
      </c>
      <c r="BI34" s="35">
        <v>112397.0</v>
      </c>
      <c r="BJ34" s="208">
        <f t="shared" si="27"/>
        <v>0.8604291543</v>
      </c>
      <c r="BK34" s="222">
        <f t="shared" si="18"/>
        <v>0.2231021556</v>
      </c>
      <c r="BL34" s="35">
        <v>55556.0</v>
      </c>
      <c r="BM34" s="208">
        <f t="shared" si="28"/>
        <v>0.4942836553</v>
      </c>
      <c r="BN34" s="35">
        <v>49103.0</v>
      </c>
      <c r="BO34" s="35">
        <v>97666.0</v>
      </c>
      <c r="BP34" s="35">
        <v>46664.0</v>
      </c>
      <c r="BQ34" s="35">
        <v>113444.0</v>
      </c>
      <c r="BR34" s="35">
        <v>79989.0</v>
      </c>
      <c r="BS34" s="190">
        <v>0.09107974441355908</v>
      </c>
      <c r="BT34" s="183">
        <v>2523.0</v>
      </c>
      <c r="BU34" s="185">
        <v>2451.0</v>
      </c>
      <c r="BV34" s="209">
        <f t="shared" si="20"/>
        <v>0.1279227557</v>
      </c>
      <c r="BW34" s="201">
        <f t="shared" ref="BW34:BW43" si="31">BU34/BT34</f>
        <v>0.9714625446</v>
      </c>
      <c r="BX34" s="185">
        <v>0.0</v>
      </c>
      <c r="BY34" s="185">
        <v>22.0</v>
      </c>
      <c r="BZ34" s="185">
        <v>50.0</v>
      </c>
      <c r="CA34" s="185">
        <v>0.0</v>
      </c>
      <c r="CB34" s="185">
        <v>0.0</v>
      </c>
      <c r="CC34" s="35">
        <v>2444.0</v>
      </c>
      <c r="CD34" s="201">
        <f t="shared" ref="CD34:CD43" si="32">CC34/BT34</f>
        <v>0.9686880698</v>
      </c>
      <c r="CE34" s="210"/>
      <c r="CF34" s="211">
        <f t="shared" si="26"/>
        <v>0</v>
      </c>
      <c r="CG34" s="194">
        <v>79.0</v>
      </c>
      <c r="CH34" s="195">
        <v>2385.0</v>
      </c>
      <c r="CI34" s="195">
        <v>2364.0</v>
      </c>
      <c r="CJ34" s="196">
        <v>2331.0</v>
      </c>
      <c r="CK34" s="195">
        <v>11.0</v>
      </c>
      <c r="CL34" s="195">
        <v>127.0</v>
      </c>
      <c r="CM34" s="198"/>
      <c r="CN34" s="198"/>
      <c r="CO34" s="198"/>
      <c r="CP34" s="197"/>
      <c r="CQ34" s="197"/>
    </row>
    <row r="35" ht="14.25" customHeight="1">
      <c r="A35" s="181" t="s">
        <v>155</v>
      </c>
      <c r="B35" s="182">
        <v>903.0</v>
      </c>
      <c r="C35" s="182" t="s">
        <v>180</v>
      </c>
      <c r="D35" s="183">
        <v>106373.0</v>
      </c>
      <c r="E35" s="183">
        <v>88362.0</v>
      </c>
      <c r="F35" s="183">
        <v>18011.0</v>
      </c>
      <c r="G35" s="184">
        <v>66193.0</v>
      </c>
      <c r="H35" s="184">
        <v>62852.0</v>
      </c>
      <c r="I35" s="185">
        <v>2755.0</v>
      </c>
      <c r="J35" s="185">
        <v>0.0</v>
      </c>
      <c r="K35" s="183">
        <v>34826.0</v>
      </c>
      <c r="L35" s="185">
        <v>21500.0</v>
      </c>
      <c r="M35" s="183">
        <v>2571.0</v>
      </c>
      <c r="N35" s="183">
        <v>28.0</v>
      </c>
      <c r="O35" s="184">
        <v>74747.0</v>
      </c>
      <c r="P35" s="184">
        <v>30492.0</v>
      </c>
      <c r="Q35" s="185">
        <v>1134.0</v>
      </c>
      <c r="R35" s="199">
        <v>1.7175003E7</v>
      </c>
      <c r="S35" s="200">
        <f t="shared" si="1"/>
        <v>0.06715789928</v>
      </c>
      <c r="T35" s="185">
        <v>1.2951661E7</v>
      </c>
      <c r="U35" s="201">
        <f t="shared" si="2"/>
        <v>0.7540994898</v>
      </c>
      <c r="V35" s="185">
        <v>4223342.0</v>
      </c>
      <c r="W35" s="188">
        <v>9720085.0</v>
      </c>
      <c r="X35" s="202">
        <f t="shared" si="3"/>
        <v>0.5659437148</v>
      </c>
      <c r="Y35" s="188">
        <v>0.0</v>
      </c>
      <c r="Z35" s="204">
        <f t="shared" si="4"/>
        <v>0</v>
      </c>
      <c r="AA35" s="188">
        <v>7584938.0</v>
      </c>
      <c r="AB35" s="204">
        <f t="shared" si="5"/>
        <v>0.4416265895</v>
      </c>
      <c r="AC35" s="204">
        <f t="shared" si="6"/>
        <v>-0.007570304355</v>
      </c>
      <c r="AE35" s="183">
        <v>724525.0</v>
      </c>
      <c r="AF35" s="205">
        <f t="shared" si="7"/>
        <v>0.07620864903</v>
      </c>
      <c r="AG35" s="206">
        <f t="shared" si="8"/>
        <v>23.7051903</v>
      </c>
      <c r="AI35" s="183">
        <v>541515.0</v>
      </c>
      <c r="AJ35" s="190">
        <v>0.7474069217763363</v>
      </c>
      <c r="AK35" s="183">
        <v>183010.0</v>
      </c>
      <c r="AL35" s="185">
        <v>383068.0</v>
      </c>
      <c r="AM35" s="207">
        <f t="shared" si="9"/>
        <v>0.5287160553</v>
      </c>
      <c r="AN35" s="35">
        <v>352874.0</v>
      </c>
      <c r="AO35" s="208">
        <f t="shared" si="10"/>
        <v>0.9211784853</v>
      </c>
      <c r="AP35" s="35">
        <v>7803.0</v>
      </c>
      <c r="AQ35" s="35">
        <v>0.0</v>
      </c>
      <c r="AR35" s="208">
        <f t="shared" si="11"/>
        <v>0</v>
      </c>
      <c r="AS35" s="35">
        <v>326490.0</v>
      </c>
      <c r="AT35" s="208">
        <f t="shared" si="12"/>
        <v>0.4506262724</v>
      </c>
      <c r="AU35" s="208">
        <f t="shared" si="13"/>
        <v>0.07808978296</v>
      </c>
      <c r="AV35" s="35">
        <v>180371.0</v>
      </c>
      <c r="AW35" s="201">
        <f t="shared" si="14"/>
        <v>0.5524548991</v>
      </c>
      <c r="AX35" s="185">
        <v>7093.0</v>
      </c>
      <c r="AY35" s="185">
        <v>71.0</v>
      </c>
      <c r="AZ35" s="35">
        <v>305830.0</v>
      </c>
      <c r="BA35" s="35">
        <v>405513.0</v>
      </c>
      <c r="BB35" s="35">
        <v>13182.0</v>
      </c>
      <c r="BC35" s="192"/>
      <c r="BD35" s="190">
        <f t="shared" si="15"/>
        <v>0.396604672</v>
      </c>
      <c r="BE35" s="183">
        <v>287350.0</v>
      </c>
      <c r="BF35" s="35">
        <v>129191.0</v>
      </c>
      <c r="BG35" s="208">
        <f t="shared" si="16"/>
        <v>0.337253438</v>
      </c>
      <c r="BH35" s="35">
        <v>112034.0</v>
      </c>
      <c r="BI35" s="35">
        <v>152816.0</v>
      </c>
      <c r="BJ35" s="207">
        <f t="shared" si="27"/>
        <v>0.4680572146</v>
      </c>
      <c r="BK35" s="207">
        <f t="shared" si="18"/>
        <v>0.1308037766</v>
      </c>
      <c r="BL35" s="191">
        <v>65536.0</v>
      </c>
      <c r="BM35" s="207">
        <f t="shared" si="28"/>
        <v>0.4288556172</v>
      </c>
      <c r="BN35" s="35">
        <v>129280.0</v>
      </c>
      <c r="BO35" s="35">
        <v>153182.0</v>
      </c>
      <c r="BP35" s="35">
        <v>4888.0</v>
      </c>
      <c r="BQ35" s="35">
        <v>179820.0</v>
      </c>
      <c r="BR35" s="35">
        <v>107530.0</v>
      </c>
      <c r="BS35" s="190">
        <v>0.10226279224991304</v>
      </c>
      <c r="BT35" s="183">
        <v>10878.0</v>
      </c>
      <c r="BU35" s="185">
        <v>7572.0</v>
      </c>
      <c r="BV35" s="209">
        <f t="shared" si="20"/>
        <v>0.1143927606</v>
      </c>
      <c r="BW35" s="201">
        <f t="shared" si="31"/>
        <v>0.6960838389</v>
      </c>
      <c r="BX35" s="185">
        <v>1831.0</v>
      </c>
      <c r="BY35" s="185">
        <v>0.0</v>
      </c>
      <c r="BZ35" s="185">
        <v>655.0</v>
      </c>
      <c r="CA35" s="185">
        <v>809.0</v>
      </c>
      <c r="CB35" s="185">
        <v>11.0</v>
      </c>
      <c r="CC35" s="35">
        <v>9956.0</v>
      </c>
      <c r="CD35" s="201">
        <f t="shared" si="32"/>
        <v>0.9152417724</v>
      </c>
      <c r="CE35" s="210"/>
      <c r="CF35" s="211">
        <f t="shared" si="26"/>
        <v>0</v>
      </c>
      <c r="CG35" s="194">
        <v>922.0</v>
      </c>
      <c r="CH35" s="195">
        <v>10706.0</v>
      </c>
      <c r="CI35" s="195">
        <v>10108.0</v>
      </c>
      <c r="CJ35" s="196">
        <v>7529.0</v>
      </c>
      <c r="CK35" s="195">
        <v>143.0</v>
      </c>
      <c r="CL35" s="195">
        <v>29.0</v>
      </c>
      <c r="CM35" s="198"/>
      <c r="CN35" s="198"/>
      <c r="CO35" s="198"/>
      <c r="CP35" s="197"/>
      <c r="CQ35" s="197"/>
    </row>
    <row r="36" ht="14.25" customHeight="1">
      <c r="A36" s="181" t="s">
        <v>150</v>
      </c>
      <c r="B36" s="182">
        <v>751.0</v>
      </c>
      <c r="C36" s="182" t="s">
        <v>181</v>
      </c>
      <c r="D36" s="183">
        <v>1259.0</v>
      </c>
      <c r="E36" s="183">
        <v>1142.0</v>
      </c>
      <c r="F36" s="183">
        <v>117.0</v>
      </c>
      <c r="G36" s="184">
        <v>779.0</v>
      </c>
      <c r="H36" s="184">
        <v>752.0</v>
      </c>
      <c r="I36" s="185">
        <v>85.0</v>
      </c>
      <c r="J36" s="183">
        <v>19.0</v>
      </c>
      <c r="K36" s="183">
        <v>376.0</v>
      </c>
      <c r="L36" s="185">
        <v>302.0</v>
      </c>
      <c r="M36" s="185">
        <v>0.0</v>
      </c>
      <c r="N36" s="185">
        <v>0.0</v>
      </c>
      <c r="O36" s="184">
        <v>992.0</v>
      </c>
      <c r="P36" s="184">
        <v>253.0</v>
      </c>
      <c r="Q36" s="185">
        <v>14.0</v>
      </c>
      <c r="R36" s="199">
        <v>116329.0</v>
      </c>
      <c r="S36" s="200">
        <f t="shared" si="1"/>
        <v>0.0004548710277</v>
      </c>
      <c r="T36" s="185">
        <v>85042.0</v>
      </c>
      <c r="U36" s="201">
        <f t="shared" si="2"/>
        <v>0.7310472883</v>
      </c>
      <c r="V36" s="185">
        <v>31287.0</v>
      </c>
      <c r="W36" s="188">
        <v>79662.0</v>
      </c>
      <c r="X36" s="202">
        <f t="shared" si="3"/>
        <v>0.6847991472</v>
      </c>
      <c r="Y36" s="188">
        <v>3971.0</v>
      </c>
      <c r="Z36" s="204">
        <f t="shared" si="4"/>
        <v>0.03413594203</v>
      </c>
      <c r="AA36" s="188">
        <v>47581.0</v>
      </c>
      <c r="AB36" s="204">
        <f t="shared" si="5"/>
        <v>0.4090209664</v>
      </c>
      <c r="AC36" s="204">
        <f t="shared" si="6"/>
        <v>-0.1279560557</v>
      </c>
      <c r="AE36" s="183">
        <v>13613.0</v>
      </c>
      <c r="AF36" s="205">
        <f t="shared" si="7"/>
        <v>0.001431873765</v>
      </c>
      <c r="AG36" s="206">
        <f t="shared" si="8"/>
        <v>8.545434511</v>
      </c>
      <c r="AI36" s="183">
        <v>11349.0</v>
      </c>
      <c r="AJ36" s="190">
        <v>0.8336883861015206</v>
      </c>
      <c r="AK36" s="183">
        <v>2264.0</v>
      </c>
      <c r="AL36" s="185">
        <v>9504.0</v>
      </c>
      <c r="AM36" s="207">
        <f t="shared" si="9"/>
        <v>0.6981561742</v>
      </c>
      <c r="AN36" s="35">
        <v>8396.0</v>
      </c>
      <c r="AO36" s="208">
        <f t="shared" si="10"/>
        <v>0.8834175084</v>
      </c>
      <c r="AP36" s="35">
        <v>342.0</v>
      </c>
      <c r="AQ36" s="35">
        <v>244.0</v>
      </c>
      <c r="AR36" s="208">
        <f t="shared" si="11"/>
        <v>0.01792404319</v>
      </c>
      <c r="AS36" s="35">
        <v>3523.0</v>
      </c>
      <c r="AT36" s="208">
        <f t="shared" si="12"/>
        <v>0.2587967384</v>
      </c>
      <c r="AU36" s="208">
        <f t="shared" si="13"/>
        <v>0.4393594358</v>
      </c>
      <c r="AV36" s="35">
        <v>2579.0</v>
      </c>
      <c r="AW36" s="201">
        <f t="shared" si="14"/>
        <v>0.7320465512</v>
      </c>
      <c r="AX36" s="185">
        <v>0.0</v>
      </c>
      <c r="AY36" s="185">
        <v>0.0</v>
      </c>
      <c r="AZ36" s="35">
        <v>6631.0</v>
      </c>
      <c r="BA36" s="35">
        <v>6801.0</v>
      </c>
      <c r="BB36" s="35">
        <v>181.0</v>
      </c>
      <c r="BC36" s="192"/>
      <c r="BD36" s="190">
        <f t="shared" si="15"/>
        <v>0.6001616102</v>
      </c>
      <c r="BE36" s="183">
        <v>8170.0</v>
      </c>
      <c r="BF36" s="35">
        <v>5383.0</v>
      </c>
      <c r="BG36" s="208">
        <f t="shared" si="16"/>
        <v>0.5663930976</v>
      </c>
      <c r="BH36" s="35">
        <v>4565.0</v>
      </c>
      <c r="BI36" s="35">
        <v>2575.0</v>
      </c>
      <c r="BJ36" s="208">
        <f t="shared" si="27"/>
        <v>0.7309111553</v>
      </c>
      <c r="BK36" s="208">
        <f t="shared" si="18"/>
        <v>0.1645180576</v>
      </c>
      <c r="BL36" s="35">
        <v>1823.0</v>
      </c>
      <c r="BM36" s="208">
        <f t="shared" si="28"/>
        <v>0.707961165</v>
      </c>
      <c r="BN36" s="35">
        <v>4130.0</v>
      </c>
      <c r="BO36" s="35">
        <v>3966.0</v>
      </c>
      <c r="BP36" s="35">
        <v>74.0</v>
      </c>
      <c r="BQ36" s="35">
        <v>6478.0</v>
      </c>
      <c r="BR36" s="35">
        <v>1692.0</v>
      </c>
      <c r="BS36" s="190">
        <v>0.03415409054805401</v>
      </c>
      <c r="BT36" s="183">
        <v>43.0</v>
      </c>
      <c r="BU36" s="185">
        <v>27.0</v>
      </c>
      <c r="BV36" s="209">
        <f t="shared" si="20"/>
        <v>0.03465982028</v>
      </c>
      <c r="BW36" s="201">
        <f t="shared" si="31"/>
        <v>0.6279069767</v>
      </c>
      <c r="BX36" s="185">
        <v>12.0</v>
      </c>
      <c r="BY36" s="185">
        <v>2.0</v>
      </c>
      <c r="BZ36" s="185">
        <v>2.0</v>
      </c>
      <c r="CA36" s="185">
        <v>0.0</v>
      </c>
      <c r="CB36" s="185">
        <v>0.0</v>
      </c>
      <c r="CC36" s="35">
        <v>41.0</v>
      </c>
      <c r="CD36" s="201">
        <f t="shared" si="32"/>
        <v>0.9534883721</v>
      </c>
      <c r="CE36" s="210"/>
      <c r="CF36" s="211">
        <f t="shared" si="26"/>
        <v>0</v>
      </c>
      <c r="CG36" s="194">
        <v>2.0</v>
      </c>
      <c r="CH36" s="195">
        <v>43.0</v>
      </c>
      <c r="CI36" s="195">
        <v>40.0</v>
      </c>
      <c r="CJ36" s="196">
        <v>27.0</v>
      </c>
      <c r="CK36" s="195">
        <v>0.0</v>
      </c>
      <c r="CL36" s="195">
        <v>0.0</v>
      </c>
      <c r="CM36" s="198"/>
      <c r="CN36" s="198"/>
      <c r="CO36" s="198"/>
      <c r="CP36" s="197"/>
      <c r="CQ36" s="197"/>
    </row>
    <row r="37" ht="14.25" customHeight="1">
      <c r="A37" s="181" t="s">
        <v>148</v>
      </c>
      <c r="B37" s="182">
        <v>855.0</v>
      </c>
      <c r="C37" s="182" t="s">
        <v>182</v>
      </c>
      <c r="D37" s="183">
        <v>58801.0</v>
      </c>
      <c r="E37" s="183">
        <v>43180.0</v>
      </c>
      <c r="F37" s="183">
        <v>15621.0</v>
      </c>
      <c r="G37" s="184">
        <v>35735.0</v>
      </c>
      <c r="H37" s="184">
        <v>30393.0</v>
      </c>
      <c r="I37" s="185">
        <v>1901.0</v>
      </c>
      <c r="J37" s="183">
        <v>8323.0</v>
      </c>
      <c r="K37" s="183">
        <v>12396.0</v>
      </c>
      <c r="L37" s="185">
        <v>6128.0</v>
      </c>
      <c r="M37" s="185">
        <v>0.0</v>
      </c>
      <c r="N37" s="183">
        <v>446.0</v>
      </c>
      <c r="O37" s="184">
        <v>44218.0</v>
      </c>
      <c r="P37" s="184">
        <v>6263.0</v>
      </c>
      <c r="Q37" s="185">
        <v>8320.0</v>
      </c>
      <c r="R37" s="199">
        <v>1.21673E7</v>
      </c>
      <c r="S37" s="200">
        <f t="shared" si="1"/>
        <v>0.04757671995</v>
      </c>
      <c r="T37" s="185">
        <v>6439064.0</v>
      </c>
      <c r="U37" s="201">
        <f t="shared" si="2"/>
        <v>0.529210589</v>
      </c>
      <c r="V37" s="185">
        <v>5728236.0</v>
      </c>
      <c r="W37" s="188">
        <v>5084241.0</v>
      </c>
      <c r="X37" s="202">
        <f t="shared" si="3"/>
        <v>0.4178610702</v>
      </c>
      <c r="Y37" s="188">
        <v>2239360.0</v>
      </c>
      <c r="Z37" s="204">
        <f t="shared" si="4"/>
        <v>0.1840474058</v>
      </c>
      <c r="AA37" s="188">
        <v>5229947.0</v>
      </c>
      <c r="AB37" s="204">
        <f t="shared" si="5"/>
        <v>0.4298362825</v>
      </c>
      <c r="AC37" s="204">
        <f t="shared" si="6"/>
        <v>-0.03174475849</v>
      </c>
      <c r="AE37" s="183">
        <v>569920.0</v>
      </c>
      <c r="AF37" s="205">
        <f t="shared" si="7"/>
        <v>0.05994663159</v>
      </c>
      <c r="AG37" s="206">
        <f t="shared" si="8"/>
        <v>21.34913672</v>
      </c>
      <c r="AI37" s="183">
        <v>315845.0</v>
      </c>
      <c r="AJ37" s="190">
        <v>0.5541918163952836</v>
      </c>
      <c r="AK37" s="183">
        <v>254075.0</v>
      </c>
      <c r="AL37" s="185">
        <v>219879.0</v>
      </c>
      <c r="AM37" s="219">
        <f t="shared" si="9"/>
        <v>0.3858067799</v>
      </c>
      <c r="AN37" s="114">
        <v>162649.0</v>
      </c>
      <c r="AO37" s="220">
        <f t="shared" si="10"/>
        <v>0.7397204826</v>
      </c>
      <c r="AP37" s="114">
        <v>9924.0</v>
      </c>
      <c r="AQ37" s="114">
        <v>78333.0</v>
      </c>
      <c r="AR37" s="220">
        <f t="shared" si="11"/>
        <v>0.1374456064</v>
      </c>
      <c r="AS37" s="114">
        <v>258225.0</v>
      </c>
      <c r="AT37" s="220">
        <f t="shared" si="12"/>
        <v>0.4530899074</v>
      </c>
      <c r="AU37" s="208">
        <f t="shared" si="13"/>
        <v>-0.06728312746</v>
      </c>
      <c r="AV37" s="35">
        <v>115995.0</v>
      </c>
      <c r="AW37" s="201">
        <f t="shared" si="14"/>
        <v>0.449201278</v>
      </c>
      <c r="AX37" s="185">
        <v>0.0</v>
      </c>
      <c r="AY37" s="185">
        <v>3559.0</v>
      </c>
      <c r="AZ37" s="35">
        <v>199637.0</v>
      </c>
      <c r="BA37" s="35">
        <v>207508.0</v>
      </c>
      <c r="BB37" s="35">
        <v>162775.0</v>
      </c>
      <c r="BC37" s="192"/>
      <c r="BD37" s="190">
        <f t="shared" si="15"/>
        <v>0.7502860051</v>
      </c>
      <c r="BE37" s="183">
        <v>427603.0</v>
      </c>
      <c r="BF37" s="35">
        <v>143339.0</v>
      </c>
      <c r="BG37" s="208">
        <f t="shared" si="16"/>
        <v>0.6518994538</v>
      </c>
      <c r="BH37" s="35">
        <v>101022.0</v>
      </c>
      <c r="BI37" s="35">
        <v>218844.0</v>
      </c>
      <c r="BJ37" s="208">
        <f t="shared" si="27"/>
        <v>0.847493465</v>
      </c>
      <c r="BK37" s="208">
        <f t="shared" si="18"/>
        <v>0.1955940112</v>
      </c>
      <c r="BL37" s="35">
        <v>94900.0</v>
      </c>
      <c r="BM37" s="208">
        <f t="shared" si="28"/>
        <v>0.4336422292</v>
      </c>
      <c r="BN37" s="35">
        <v>159496.0</v>
      </c>
      <c r="BO37" s="35">
        <v>171067.0</v>
      </c>
      <c r="BP37" s="35">
        <v>97040.0</v>
      </c>
      <c r="BQ37" s="35">
        <v>221166.0</v>
      </c>
      <c r="BR37" s="35">
        <v>206437.0</v>
      </c>
      <c r="BS37" s="190">
        <v>0.045951599462594174</v>
      </c>
      <c r="BT37" s="183">
        <v>2702.0</v>
      </c>
      <c r="BU37" s="185">
        <v>1908.0</v>
      </c>
      <c r="BV37" s="209">
        <f t="shared" si="20"/>
        <v>0.05339303204</v>
      </c>
      <c r="BW37" s="201">
        <f t="shared" si="31"/>
        <v>0.7061435973</v>
      </c>
      <c r="BX37" s="185">
        <v>245.0</v>
      </c>
      <c r="BY37" s="185">
        <v>330.0</v>
      </c>
      <c r="BZ37" s="185">
        <v>186.0</v>
      </c>
      <c r="CA37" s="185">
        <v>0.0</v>
      </c>
      <c r="CB37" s="185">
        <v>33.0</v>
      </c>
      <c r="CC37" s="35">
        <v>2364.0</v>
      </c>
      <c r="CD37" s="201">
        <f t="shared" si="32"/>
        <v>0.8749074759</v>
      </c>
      <c r="CE37" s="210"/>
      <c r="CF37" s="211">
        <f t="shared" si="26"/>
        <v>0</v>
      </c>
      <c r="CG37" s="194">
        <v>338.0</v>
      </c>
      <c r="CH37" s="195">
        <v>2656.0</v>
      </c>
      <c r="CI37" s="195">
        <v>2580.0</v>
      </c>
      <c r="CJ37" s="196">
        <v>1906.0</v>
      </c>
      <c r="CK37" s="195">
        <v>35.0</v>
      </c>
      <c r="CL37" s="195">
        <v>11.0</v>
      </c>
      <c r="CM37" s="198"/>
      <c r="CN37" s="198"/>
      <c r="CO37" s="198"/>
      <c r="CP37" s="197"/>
      <c r="CQ37" s="197"/>
    </row>
    <row r="38" ht="14.25" customHeight="1">
      <c r="A38" s="181" t="s">
        <v>150</v>
      </c>
      <c r="B38" s="182">
        <v>754.0</v>
      </c>
      <c r="C38" s="182" t="s">
        <v>183</v>
      </c>
      <c r="D38" s="183">
        <v>43083.0</v>
      </c>
      <c r="E38" s="183">
        <v>28547.0</v>
      </c>
      <c r="F38" s="183">
        <v>14536.0</v>
      </c>
      <c r="G38" s="184">
        <v>27722.0</v>
      </c>
      <c r="H38" s="184">
        <v>23140.0</v>
      </c>
      <c r="I38" s="185">
        <v>2301.0</v>
      </c>
      <c r="J38" s="183">
        <v>700.0</v>
      </c>
      <c r="K38" s="183">
        <v>12193.0</v>
      </c>
      <c r="L38" s="185">
        <v>3248.0</v>
      </c>
      <c r="M38" s="185">
        <v>0.0</v>
      </c>
      <c r="N38" s="183">
        <v>167.0</v>
      </c>
      <c r="O38" s="184">
        <v>28399.0</v>
      </c>
      <c r="P38" s="184">
        <v>7200.0</v>
      </c>
      <c r="Q38" s="185">
        <v>7484.0</v>
      </c>
      <c r="R38" s="199">
        <v>6763649.0</v>
      </c>
      <c r="S38" s="200">
        <f t="shared" si="1"/>
        <v>0.02644730008</v>
      </c>
      <c r="T38" s="185">
        <v>2898566.0</v>
      </c>
      <c r="U38" s="201">
        <f t="shared" si="2"/>
        <v>0.4285506241</v>
      </c>
      <c r="V38" s="185">
        <v>3865083.0</v>
      </c>
      <c r="W38" s="188">
        <v>2980421.0</v>
      </c>
      <c r="X38" s="202">
        <f t="shared" si="3"/>
        <v>0.4406528192</v>
      </c>
      <c r="Y38" s="188">
        <v>90601.0</v>
      </c>
      <c r="Z38" s="204">
        <f t="shared" si="4"/>
        <v>0.01339528411</v>
      </c>
      <c r="AA38" s="188">
        <v>3514338.0</v>
      </c>
      <c r="AB38" s="204">
        <f t="shared" si="5"/>
        <v>0.5195920131</v>
      </c>
      <c r="AC38" s="204">
        <f t="shared" si="6"/>
        <v>0.02635988355</v>
      </c>
      <c r="AE38" s="183">
        <v>320894.0</v>
      </c>
      <c r="AF38" s="205">
        <f t="shared" si="7"/>
        <v>0.03375300814</v>
      </c>
      <c r="AG38" s="206">
        <f t="shared" si="8"/>
        <v>21.07751781</v>
      </c>
      <c r="AI38" s="183">
        <v>140628.0</v>
      </c>
      <c r="AJ38" s="190">
        <v>0.438238172106677</v>
      </c>
      <c r="AK38" s="183">
        <v>180266.0</v>
      </c>
      <c r="AL38" s="185">
        <v>127732.0</v>
      </c>
      <c r="AM38" s="219">
        <f t="shared" si="9"/>
        <v>0.3980504466</v>
      </c>
      <c r="AN38" s="114">
        <v>96168.0</v>
      </c>
      <c r="AO38" s="220">
        <f t="shared" si="10"/>
        <v>0.7528888611</v>
      </c>
      <c r="AP38" s="114">
        <v>12563.0</v>
      </c>
      <c r="AQ38" s="114">
        <v>3337.0</v>
      </c>
      <c r="AR38" s="220">
        <f t="shared" si="11"/>
        <v>0.01039907259</v>
      </c>
      <c r="AS38" s="114">
        <v>176885.0</v>
      </c>
      <c r="AT38" s="220">
        <f t="shared" si="12"/>
        <v>0.5512256384</v>
      </c>
      <c r="AU38" s="208">
        <f t="shared" si="13"/>
        <v>-0.1531751918</v>
      </c>
      <c r="AV38" s="35">
        <v>34797.0</v>
      </c>
      <c r="AW38" s="201">
        <f t="shared" si="14"/>
        <v>0.1967210334</v>
      </c>
      <c r="AX38" s="185">
        <v>0.0</v>
      </c>
      <c r="AY38" s="185">
        <v>377.0</v>
      </c>
      <c r="AZ38" s="35">
        <v>99264.0</v>
      </c>
      <c r="BA38" s="35">
        <v>138788.0</v>
      </c>
      <c r="BB38" s="35">
        <v>82842.0</v>
      </c>
      <c r="BC38" s="192"/>
      <c r="BD38" s="190">
        <f t="shared" si="15"/>
        <v>0.6058542696</v>
      </c>
      <c r="BE38" s="183">
        <v>194415.0</v>
      </c>
      <c r="BF38" s="35">
        <v>59471.0</v>
      </c>
      <c r="BG38" s="208">
        <f t="shared" si="16"/>
        <v>0.4655920208</v>
      </c>
      <c r="BH38" s="35">
        <v>40914.0</v>
      </c>
      <c r="BI38" s="35">
        <v>126128.0</v>
      </c>
      <c r="BJ38" s="208">
        <f t="shared" si="27"/>
        <v>0.7130508522</v>
      </c>
      <c r="BK38" s="222">
        <f t="shared" si="18"/>
        <v>0.2474588315</v>
      </c>
      <c r="BL38" s="35">
        <v>21356.0</v>
      </c>
      <c r="BM38" s="208">
        <f t="shared" si="28"/>
        <v>0.1693200558</v>
      </c>
      <c r="BN38" s="35">
        <v>58122.0</v>
      </c>
      <c r="BO38" s="35">
        <v>101148.0</v>
      </c>
      <c r="BP38" s="35">
        <v>35145.0</v>
      </c>
      <c r="BQ38" s="35">
        <v>66619.0</v>
      </c>
      <c r="BR38" s="35">
        <v>127796.0</v>
      </c>
      <c r="BS38" s="190">
        <v>0.14836478425364993</v>
      </c>
      <c r="BT38" s="183">
        <v>6392.0</v>
      </c>
      <c r="BU38" s="185">
        <v>5029.0</v>
      </c>
      <c r="BV38" s="215">
        <f t="shared" si="20"/>
        <v>0.1814082678</v>
      </c>
      <c r="BW38" s="201">
        <f t="shared" si="31"/>
        <v>0.7867647059</v>
      </c>
      <c r="BX38" s="185">
        <v>792.0</v>
      </c>
      <c r="BY38" s="185">
        <v>140.0</v>
      </c>
      <c r="BZ38" s="185">
        <v>371.0</v>
      </c>
      <c r="CA38" s="185">
        <v>0.0</v>
      </c>
      <c r="CB38" s="185">
        <v>60.0</v>
      </c>
      <c r="CC38" s="35">
        <v>5533.0</v>
      </c>
      <c r="CD38" s="201">
        <f t="shared" si="32"/>
        <v>0.8656132666</v>
      </c>
      <c r="CE38" s="210"/>
      <c r="CF38" s="211">
        <f t="shared" si="26"/>
        <v>0</v>
      </c>
      <c r="CG38" s="194">
        <v>859.0</v>
      </c>
      <c r="CH38" s="195">
        <v>6223.0</v>
      </c>
      <c r="CI38" s="195">
        <v>5871.0</v>
      </c>
      <c r="CJ38" s="196">
        <v>5010.0</v>
      </c>
      <c r="CK38" s="195">
        <v>97.0</v>
      </c>
      <c r="CL38" s="195">
        <v>72.0</v>
      </c>
      <c r="CM38" s="198"/>
      <c r="CN38" s="198"/>
      <c r="CO38" s="198"/>
      <c r="CP38" s="197"/>
      <c r="CQ38" s="197"/>
    </row>
    <row r="39" ht="14.25" customHeight="1">
      <c r="A39" s="181" t="s">
        <v>148</v>
      </c>
      <c r="B39" s="182">
        <v>834.0</v>
      </c>
      <c r="C39" s="182" t="s">
        <v>184</v>
      </c>
      <c r="D39" s="183">
        <v>4929.0</v>
      </c>
      <c r="E39" s="183">
        <v>4527.0</v>
      </c>
      <c r="F39" s="183">
        <v>402.0</v>
      </c>
      <c r="G39" s="184">
        <v>4234.0</v>
      </c>
      <c r="H39" s="184">
        <v>3982.0</v>
      </c>
      <c r="I39" s="185">
        <v>28.0</v>
      </c>
      <c r="J39" s="183">
        <v>43.0</v>
      </c>
      <c r="K39" s="183">
        <v>363.0</v>
      </c>
      <c r="L39" s="185">
        <v>284.0</v>
      </c>
      <c r="M39" s="183">
        <v>179.0</v>
      </c>
      <c r="N39" s="183">
        <v>82.0</v>
      </c>
      <c r="O39" s="184">
        <v>3746.0</v>
      </c>
      <c r="P39" s="184">
        <v>1112.0</v>
      </c>
      <c r="Q39" s="185">
        <v>71.0</v>
      </c>
      <c r="R39" s="199">
        <v>684179.0</v>
      </c>
      <c r="S39" s="200">
        <f t="shared" si="1"/>
        <v>0.002675284794</v>
      </c>
      <c r="T39" s="185">
        <v>527964.0</v>
      </c>
      <c r="U39" s="201">
        <f t="shared" si="2"/>
        <v>0.7716752487</v>
      </c>
      <c r="V39" s="185">
        <v>156215.0</v>
      </c>
      <c r="W39" s="188">
        <v>530204.0</v>
      </c>
      <c r="X39" s="202">
        <f t="shared" si="3"/>
        <v>0.7749492457</v>
      </c>
      <c r="Y39" s="188">
        <v>26799.0</v>
      </c>
      <c r="Z39" s="204">
        <f t="shared" si="4"/>
        <v>0.03916957404</v>
      </c>
      <c r="AA39" s="188">
        <v>129032.0</v>
      </c>
      <c r="AB39" s="204">
        <f t="shared" si="5"/>
        <v>0.1885939206</v>
      </c>
      <c r="AC39" s="204">
        <f t="shared" si="6"/>
        <v>-0.002712740379</v>
      </c>
      <c r="AE39" s="183">
        <v>36433.0</v>
      </c>
      <c r="AF39" s="205">
        <f t="shared" si="7"/>
        <v>0.003832179304</v>
      </c>
      <c r="AG39" s="206">
        <f t="shared" si="8"/>
        <v>18.77910136</v>
      </c>
      <c r="AI39" s="183">
        <v>29469.0</v>
      </c>
      <c r="AJ39" s="190">
        <v>0.808854609831746</v>
      </c>
      <c r="AK39" s="183">
        <v>6964.0</v>
      </c>
      <c r="AL39" s="185">
        <v>27559.0</v>
      </c>
      <c r="AM39" s="207">
        <f t="shared" si="9"/>
        <v>0.7564296105</v>
      </c>
      <c r="AN39" s="35">
        <v>23540.0</v>
      </c>
      <c r="AO39" s="208">
        <f t="shared" si="10"/>
        <v>0.8541674226</v>
      </c>
      <c r="AP39" s="35">
        <v>482.0</v>
      </c>
      <c r="AQ39" s="35">
        <v>1125.0</v>
      </c>
      <c r="AR39" s="208">
        <f t="shared" si="11"/>
        <v>0.03087859907</v>
      </c>
      <c r="AS39" s="35">
        <v>6191.0</v>
      </c>
      <c r="AT39" s="208">
        <f t="shared" si="12"/>
        <v>0.1699283617</v>
      </c>
      <c r="AU39" s="208">
        <f t="shared" si="13"/>
        <v>0.5865012489</v>
      </c>
      <c r="AV39" s="35">
        <v>4449.0</v>
      </c>
      <c r="AW39" s="201">
        <f t="shared" si="14"/>
        <v>0.7186238088</v>
      </c>
      <c r="AX39" s="185">
        <v>480.0</v>
      </c>
      <c r="AY39" s="185">
        <v>596.0</v>
      </c>
      <c r="AZ39" s="35">
        <v>15241.0</v>
      </c>
      <c r="BA39" s="35">
        <v>19785.0</v>
      </c>
      <c r="BB39" s="35">
        <v>1407.0</v>
      </c>
      <c r="BC39" s="192"/>
      <c r="BD39" s="190">
        <f t="shared" si="15"/>
        <v>0.3495182939</v>
      </c>
      <c r="BE39" s="183">
        <v>12734.0</v>
      </c>
      <c r="BF39" s="35">
        <v>8722.0</v>
      </c>
      <c r="BG39" s="208">
        <f t="shared" si="16"/>
        <v>0.316484633</v>
      </c>
      <c r="BH39" s="35">
        <v>6677.0</v>
      </c>
      <c r="BI39" s="35">
        <v>3136.0</v>
      </c>
      <c r="BJ39" s="207">
        <f t="shared" si="27"/>
        <v>0.5065417542</v>
      </c>
      <c r="BK39" s="207">
        <f t="shared" si="18"/>
        <v>0.1900571212</v>
      </c>
      <c r="BL39" s="191">
        <v>2155.0</v>
      </c>
      <c r="BM39" s="207">
        <f t="shared" si="28"/>
        <v>0.6871811224</v>
      </c>
      <c r="BN39" s="35">
        <v>4374.0</v>
      </c>
      <c r="BO39" s="35">
        <v>7837.0</v>
      </c>
      <c r="BP39" s="35">
        <v>523.0</v>
      </c>
      <c r="BQ39" s="35">
        <v>9246.0</v>
      </c>
      <c r="BR39" s="35">
        <v>3488.0</v>
      </c>
      <c r="BS39" s="190">
        <v>0.041387705416920266</v>
      </c>
      <c r="BT39" s="183">
        <v>204.0</v>
      </c>
      <c r="BU39" s="185">
        <v>187.0</v>
      </c>
      <c r="BV39" s="209">
        <f t="shared" si="20"/>
        <v>0.04416627303</v>
      </c>
      <c r="BW39" s="201">
        <f t="shared" si="31"/>
        <v>0.9166666667</v>
      </c>
      <c r="BX39" s="185">
        <v>0.0</v>
      </c>
      <c r="BY39" s="185">
        <v>0.0</v>
      </c>
      <c r="BZ39" s="185">
        <v>1.0</v>
      </c>
      <c r="CA39" s="185">
        <v>16.0</v>
      </c>
      <c r="CB39" s="185">
        <v>0.0</v>
      </c>
      <c r="CC39" s="35">
        <v>204.0</v>
      </c>
      <c r="CD39" s="201">
        <f t="shared" si="32"/>
        <v>1</v>
      </c>
      <c r="CE39" s="210"/>
      <c r="CF39" s="211">
        <f t="shared" si="26"/>
        <v>0</v>
      </c>
      <c r="CG39" s="194">
        <v>0.0</v>
      </c>
      <c r="CH39" s="195">
        <v>204.0</v>
      </c>
      <c r="CI39" s="195">
        <v>184.0</v>
      </c>
      <c r="CJ39" s="196">
        <v>187.0</v>
      </c>
      <c r="CK39" s="195">
        <v>0.0</v>
      </c>
      <c r="CL39" s="195">
        <v>0.0</v>
      </c>
      <c r="CM39" s="198"/>
      <c r="CN39" s="198"/>
      <c r="CO39" s="198"/>
      <c r="CP39" s="197"/>
      <c r="CQ39" s="197"/>
    </row>
    <row r="40" ht="14.25" customHeight="1">
      <c r="A40" s="181" t="s">
        <v>159</v>
      </c>
      <c r="B40" s="182">
        <v>851.0</v>
      </c>
      <c r="C40" s="182" t="s">
        <v>185</v>
      </c>
      <c r="D40" s="183">
        <v>258054.0</v>
      </c>
      <c r="E40" s="183">
        <v>221117.0</v>
      </c>
      <c r="F40" s="183">
        <v>36937.0</v>
      </c>
      <c r="G40" s="184">
        <v>136137.0</v>
      </c>
      <c r="H40" s="184">
        <v>130602.0</v>
      </c>
      <c r="I40" s="185">
        <v>887.0</v>
      </c>
      <c r="J40" s="183">
        <v>8113.0</v>
      </c>
      <c r="K40" s="183">
        <v>97808.0</v>
      </c>
      <c r="L40" s="185">
        <v>72858.0</v>
      </c>
      <c r="M40" s="183">
        <v>12791.0</v>
      </c>
      <c r="N40" s="183">
        <v>2318.0</v>
      </c>
      <c r="O40" s="184">
        <v>184642.0</v>
      </c>
      <c r="P40" s="184">
        <v>8586.0</v>
      </c>
      <c r="Q40" s="185">
        <v>64826.0</v>
      </c>
      <c r="R40" s="196">
        <v>4.6774404E7</v>
      </c>
      <c r="S40" s="200">
        <f t="shared" si="1"/>
        <v>0.1828978261</v>
      </c>
      <c r="T40" s="226">
        <v>3.7830916E7</v>
      </c>
      <c r="U40" s="201">
        <f t="shared" si="2"/>
        <v>0.8087952548</v>
      </c>
      <c r="V40" s="226">
        <v>8943488.0</v>
      </c>
      <c r="W40" s="188">
        <v>1.8722667E7</v>
      </c>
      <c r="X40" s="202">
        <f t="shared" si="3"/>
        <v>0.4002759073</v>
      </c>
      <c r="Y40" s="188">
        <v>4886841.0</v>
      </c>
      <c r="Z40" s="204">
        <f t="shared" si="4"/>
        <v>0.1044768203</v>
      </c>
      <c r="AA40" s="188">
        <v>2.1095448E7</v>
      </c>
      <c r="AB40" s="204">
        <f t="shared" si="5"/>
        <v>0.4510041004</v>
      </c>
      <c r="AC40" s="204">
        <f t="shared" si="6"/>
        <v>0.04424317197</v>
      </c>
      <c r="AE40" s="183">
        <v>1507828.0</v>
      </c>
      <c r="AF40" s="205">
        <f t="shared" si="7"/>
        <v>0.1585998204</v>
      </c>
      <c r="AG40" s="206">
        <f t="shared" si="8"/>
        <v>31.02104749</v>
      </c>
      <c r="AI40" s="183">
        <v>1218336.0</v>
      </c>
      <c r="AJ40" s="190">
        <v>0.8080072793448589</v>
      </c>
      <c r="AK40" s="183">
        <v>289492.0</v>
      </c>
      <c r="AL40" s="185">
        <v>624874.0</v>
      </c>
      <c r="AM40" s="219">
        <f t="shared" si="9"/>
        <v>0.4144199471</v>
      </c>
      <c r="AN40" s="114">
        <v>601453.0</v>
      </c>
      <c r="AO40" s="220">
        <f t="shared" si="10"/>
        <v>0.9625188438</v>
      </c>
      <c r="AP40" s="114">
        <v>10838.0</v>
      </c>
      <c r="AQ40" s="228">
        <v>89732.0</v>
      </c>
      <c r="AR40" s="220">
        <f t="shared" si="11"/>
        <v>0.05951076648</v>
      </c>
      <c r="AS40" s="114">
        <v>703949.0</v>
      </c>
      <c r="AT40" s="220">
        <f t="shared" si="12"/>
        <v>0.4668629313</v>
      </c>
      <c r="AU40" s="208">
        <f t="shared" si="13"/>
        <v>-0.05244298421</v>
      </c>
      <c r="AV40" s="35">
        <v>497099.0</v>
      </c>
      <c r="AW40" s="201">
        <f t="shared" si="14"/>
        <v>0.7061576904</v>
      </c>
      <c r="AX40" s="185">
        <v>67411.0</v>
      </c>
      <c r="AY40" s="185">
        <v>11024.0</v>
      </c>
      <c r="AZ40" s="35">
        <v>948320.0</v>
      </c>
      <c r="BA40" s="35">
        <v>173371.0</v>
      </c>
      <c r="BB40" s="35">
        <v>386137.0</v>
      </c>
      <c r="BC40" s="192"/>
      <c r="BD40" s="190">
        <f t="shared" si="15"/>
        <v>0.4567861852</v>
      </c>
      <c r="BE40" s="183">
        <v>688755.0</v>
      </c>
      <c r="BF40" s="35">
        <v>306502.0</v>
      </c>
      <c r="BG40" s="208">
        <f t="shared" si="16"/>
        <v>0.4905020852</v>
      </c>
      <c r="BH40" s="35">
        <v>290008.0</v>
      </c>
      <c r="BI40" s="35">
        <v>326247.0</v>
      </c>
      <c r="BJ40" s="207">
        <f t="shared" si="27"/>
        <v>0.4634526081</v>
      </c>
      <c r="BK40" s="207">
        <f t="shared" si="18"/>
        <v>-0.02704947715</v>
      </c>
      <c r="BL40" s="191">
        <v>195656.0</v>
      </c>
      <c r="BM40" s="207">
        <f t="shared" si="28"/>
        <v>0.599717392</v>
      </c>
      <c r="BN40" s="35">
        <v>461466.0</v>
      </c>
      <c r="BO40" s="35">
        <v>99801.0</v>
      </c>
      <c r="BP40" s="35">
        <v>127488.0</v>
      </c>
      <c r="BQ40" s="35">
        <v>516276.0</v>
      </c>
      <c r="BR40" s="35">
        <v>172479.0</v>
      </c>
      <c r="BS40" s="190">
        <v>0.031156269617986933</v>
      </c>
      <c r="BT40" s="183">
        <v>8040.0</v>
      </c>
      <c r="BU40" s="185">
        <v>5015.0</v>
      </c>
      <c r="BV40" s="209">
        <f t="shared" si="20"/>
        <v>0.03683789124</v>
      </c>
      <c r="BW40" s="201">
        <f t="shared" si="31"/>
        <v>0.6237562189</v>
      </c>
      <c r="BX40" s="185">
        <v>136.0</v>
      </c>
      <c r="BY40" s="185">
        <v>277.0</v>
      </c>
      <c r="BZ40" s="185">
        <v>2255.0</v>
      </c>
      <c r="CA40" s="185">
        <v>301.0</v>
      </c>
      <c r="CB40" s="185">
        <v>56.0</v>
      </c>
      <c r="CC40" s="35">
        <v>5914.0</v>
      </c>
      <c r="CD40" s="201">
        <f t="shared" si="32"/>
        <v>0.7355721393</v>
      </c>
      <c r="CE40" s="210"/>
      <c r="CF40" s="211">
        <f t="shared" si="26"/>
        <v>0</v>
      </c>
      <c r="CG40" s="194">
        <v>2126.0</v>
      </c>
      <c r="CH40" s="195">
        <v>4091.0</v>
      </c>
      <c r="CI40" s="195">
        <v>3564.0</v>
      </c>
      <c r="CJ40" s="196">
        <v>2133.0</v>
      </c>
      <c r="CK40" s="195">
        <v>49.0</v>
      </c>
      <c r="CL40" s="195">
        <v>3900.0</v>
      </c>
      <c r="CM40" s="197"/>
      <c r="CN40" s="198"/>
      <c r="CO40" s="198"/>
      <c r="CP40" s="197"/>
      <c r="CQ40" s="197"/>
    </row>
    <row r="41" ht="14.25" customHeight="1">
      <c r="A41" s="181" t="s">
        <v>159</v>
      </c>
      <c r="B41" s="182">
        <v>719.0</v>
      </c>
      <c r="C41" s="182" t="s">
        <v>186</v>
      </c>
      <c r="D41" s="183">
        <v>22815.0</v>
      </c>
      <c r="E41" s="183">
        <v>19206.0</v>
      </c>
      <c r="F41" s="183">
        <v>3609.0</v>
      </c>
      <c r="G41" s="184">
        <v>16356.0</v>
      </c>
      <c r="H41" s="184">
        <v>15318.0</v>
      </c>
      <c r="I41" s="185">
        <v>128.0</v>
      </c>
      <c r="J41" s="183">
        <v>608.0</v>
      </c>
      <c r="K41" s="183">
        <v>5225.0</v>
      </c>
      <c r="L41" s="185">
        <v>3091.0</v>
      </c>
      <c r="M41" s="183">
        <v>462.0</v>
      </c>
      <c r="N41" s="183">
        <v>36.0</v>
      </c>
      <c r="O41" s="184">
        <v>15768.0</v>
      </c>
      <c r="P41" s="184">
        <v>1002.0</v>
      </c>
      <c r="Q41" s="185">
        <v>6045.0</v>
      </c>
      <c r="R41" s="196">
        <v>2355768.0</v>
      </c>
      <c r="S41" s="200">
        <f t="shared" si="1"/>
        <v>0.009211551815</v>
      </c>
      <c r="T41" s="185">
        <v>1471281.0</v>
      </c>
      <c r="U41" s="201">
        <f t="shared" si="2"/>
        <v>0.6245440977</v>
      </c>
      <c r="V41" s="185">
        <v>884487.0</v>
      </c>
      <c r="W41" s="188">
        <v>923122.0</v>
      </c>
      <c r="X41" s="202">
        <f t="shared" si="3"/>
        <v>0.3918560741</v>
      </c>
      <c r="Y41" s="188">
        <v>156815.0</v>
      </c>
      <c r="Z41" s="204">
        <f t="shared" si="4"/>
        <v>0.06656640212</v>
      </c>
      <c r="AA41" s="188">
        <v>1238714.0</v>
      </c>
      <c r="AB41" s="204">
        <f t="shared" si="5"/>
        <v>0.5258217278</v>
      </c>
      <c r="AC41" s="204">
        <f t="shared" si="6"/>
        <v>0.01575579599</v>
      </c>
      <c r="AE41" s="183">
        <v>123212.0</v>
      </c>
      <c r="AF41" s="205">
        <f t="shared" si="7"/>
        <v>0.01295996696</v>
      </c>
      <c r="AG41" s="206">
        <f t="shared" si="8"/>
        <v>19.1196312</v>
      </c>
      <c r="AI41" s="183">
        <v>84615.0</v>
      </c>
      <c r="AJ41" s="190">
        <v>0.6867431743661332</v>
      </c>
      <c r="AK41" s="183">
        <v>38597.0</v>
      </c>
      <c r="AL41" s="185">
        <v>57282.0</v>
      </c>
      <c r="AM41" s="219">
        <f t="shared" si="9"/>
        <v>0.4649060156</v>
      </c>
      <c r="AN41" s="114">
        <v>51281.0</v>
      </c>
      <c r="AO41" s="220">
        <f t="shared" si="10"/>
        <v>0.8952375965</v>
      </c>
      <c r="AP41" s="114">
        <v>2073.0</v>
      </c>
      <c r="AQ41" s="228">
        <v>5169.0</v>
      </c>
      <c r="AR41" s="220">
        <f t="shared" si="11"/>
        <v>0.04195208259</v>
      </c>
      <c r="AS41" s="114">
        <v>56329.0</v>
      </c>
      <c r="AT41" s="220">
        <f t="shared" si="12"/>
        <v>0.4571713794</v>
      </c>
      <c r="AU41" s="208">
        <f t="shared" si="13"/>
        <v>0.007734636237</v>
      </c>
      <c r="AV41" s="35">
        <v>27894.0</v>
      </c>
      <c r="AW41" s="201">
        <f t="shared" si="14"/>
        <v>0.4951978555</v>
      </c>
      <c r="AX41" s="185">
        <v>2200.0</v>
      </c>
      <c r="AY41" s="185">
        <v>159.0</v>
      </c>
      <c r="AZ41" s="35">
        <v>53758.0</v>
      </c>
      <c r="BA41" s="35">
        <v>26574.0</v>
      </c>
      <c r="BB41" s="35">
        <v>42880.0</v>
      </c>
      <c r="BC41" s="192"/>
      <c r="BD41" s="190">
        <f t="shared" si="15"/>
        <v>0.5499788982</v>
      </c>
      <c r="BE41" s="183">
        <v>67764.0</v>
      </c>
      <c r="BF41" s="35">
        <v>23688.0</v>
      </c>
      <c r="BG41" s="208">
        <f t="shared" si="16"/>
        <v>0.413533047</v>
      </c>
      <c r="BH41" s="35">
        <v>19939.0</v>
      </c>
      <c r="BI41" s="35">
        <v>39776.0</v>
      </c>
      <c r="BJ41" s="208">
        <f t="shared" si="27"/>
        <v>0.7061371585</v>
      </c>
      <c r="BK41" s="222">
        <f t="shared" si="18"/>
        <v>0.2926041114</v>
      </c>
      <c r="BL41" s="35">
        <v>18348.0</v>
      </c>
      <c r="BM41" s="208">
        <f t="shared" si="28"/>
        <v>0.4612831858</v>
      </c>
      <c r="BN41" s="35">
        <v>33611.0</v>
      </c>
      <c r="BO41" s="35">
        <v>18816.0</v>
      </c>
      <c r="BP41" s="35">
        <v>15337.0</v>
      </c>
      <c r="BQ41" s="35">
        <v>40258.0</v>
      </c>
      <c r="BR41" s="35">
        <v>27506.0</v>
      </c>
      <c r="BS41" s="190">
        <v>0.15143545912776682</v>
      </c>
      <c r="BT41" s="183">
        <v>3455.0</v>
      </c>
      <c r="BU41" s="185">
        <v>3372.0</v>
      </c>
      <c r="BV41" s="214">
        <f t="shared" si="20"/>
        <v>0.206162876</v>
      </c>
      <c r="BW41" s="201">
        <f t="shared" si="31"/>
        <v>0.9759768452</v>
      </c>
      <c r="BX41" s="185">
        <v>9.0</v>
      </c>
      <c r="BY41" s="185">
        <v>19.0</v>
      </c>
      <c r="BZ41" s="185">
        <v>49.0</v>
      </c>
      <c r="CA41" s="185">
        <v>2.0</v>
      </c>
      <c r="CB41" s="185">
        <v>4.0</v>
      </c>
      <c r="CC41" s="35">
        <v>3327.0</v>
      </c>
      <c r="CD41" s="201">
        <f t="shared" si="32"/>
        <v>0.9629522431</v>
      </c>
      <c r="CE41" s="210"/>
      <c r="CF41" s="211">
        <f t="shared" si="26"/>
        <v>0</v>
      </c>
      <c r="CG41" s="194">
        <v>128.0</v>
      </c>
      <c r="CH41" s="195">
        <v>3250.0</v>
      </c>
      <c r="CI41" s="195">
        <v>3242.0</v>
      </c>
      <c r="CJ41" s="196">
        <v>3194.0</v>
      </c>
      <c r="CK41" s="195">
        <v>2.0</v>
      </c>
      <c r="CL41" s="195">
        <v>203.0</v>
      </c>
      <c r="CM41" s="198"/>
      <c r="CN41" s="198"/>
      <c r="CO41" s="197"/>
      <c r="CP41" s="197"/>
      <c r="CQ41" s="197"/>
    </row>
    <row r="42" ht="14.25" customHeight="1">
      <c r="A42" s="181" t="s">
        <v>153</v>
      </c>
      <c r="B42" s="182">
        <v>866.0</v>
      </c>
      <c r="C42" s="182" t="s">
        <v>187</v>
      </c>
      <c r="D42" s="183">
        <v>94744.0</v>
      </c>
      <c r="E42" s="183">
        <v>82551.0</v>
      </c>
      <c r="F42" s="183">
        <v>12193.0</v>
      </c>
      <c r="G42" s="184">
        <v>83147.0</v>
      </c>
      <c r="H42" s="184">
        <v>73191.0</v>
      </c>
      <c r="I42" s="185">
        <v>155.0</v>
      </c>
      <c r="J42" s="183">
        <v>88.0</v>
      </c>
      <c r="K42" s="183">
        <v>9750.0</v>
      </c>
      <c r="L42" s="185">
        <v>7951.0</v>
      </c>
      <c r="M42" s="185">
        <v>0.0</v>
      </c>
      <c r="N42" s="183">
        <v>1604.0</v>
      </c>
      <c r="O42" s="184">
        <v>76762.0</v>
      </c>
      <c r="P42" s="184">
        <v>1222.0</v>
      </c>
      <c r="Q42" s="185">
        <v>16760.0</v>
      </c>
      <c r="R42" s="229">
        <v>1.7165114E7</v>
      </c>
      <c r="S42" s="200">
        <f t="shared" si="1"/>
        <v>0.06711923119</v>
      </c>
      <c r="T42" s="35">
        <v>1.3942511E7</v>
      </c>
      <c r="U42" s="201">
        <f t="shared" si="2"/>
        <v>0.8122585728</v>
      </c>
      <c r="V42" s="35">
        <v>3222603.0</v>
      </c>
      <c r="W42" s="216">
        <v>1.6456278E7</v>
      </c>
      <c r="X42" s="202">
        <f t="shared" si="3"/>
        <v>0.9587048475</v>
      </c>
      <c r="Y42" s="188">
        <v>33150.0</v>
      </c>
      <c r="Z42" s="204">
        <f t="shared" si="4"/>
        <v>0.001931242635</v>
      </c>
      <c r="AA42" s="188">
        <v>1936027.0</v>
      </c>
      <c r="AB42" s="204">
        <f t="shared" si="5"/>
        <v>0.1127884732</v>
      </c>
      <c r="AC42" s="204">
        <f t="shared" si="6"/>
        <v>-0.07342456333</v>
      </c>
      <c r="AE42" s="183">
        <v>581687.0</v>
      </c>
      <c r="AF42" s="205">
        <f t="shared" si="7"/>
        <v>0.06118433516</v>
      </c>
      <c r="AG42" s="206">
        <f t="shared" si="8"/>
        <v>29.50919309</v>
      </c>
      <c r="AI42" s="183">
        <v>462312.0</v>
      </c>
      <c r="AJ42" s="190">
        <v>0.7947779475903708</v>
      </c>
      <c r="AK42" s="183">
        <v>119375.0</v>
      </c>
      <c r="AL42" s="185">
        <v>471748.0</v>
      </c>
      <c r="AM42" s="207">
        <f t="shared" si="9"/>
        <v>0.8109997301</v>
      </c>
      <c r="AN42" s="35">
        <v>383954.0</v>
      </c>
      <c r="AO42" s="208">
        <f t="shared" si="10"/>
        <v>0.8138964023</v>
      </c>
      <c r="AP42" s="35">
        <v>3096.0</v>
      </c>
      <c r="AQ42" s="185">
        <v>1042.0</v>
      </c>
      <c r="AR42" s="208">
        <f t="shared" si="11"/>
        <v>0.001791341392</v>
      </c>
      <c r="AS42" s="35">
        <v>94087.0</v>
      </c>
      <c r="AT42" s="208">
        <f t="shared" si="12"/>
        <v>0.1617485005</v>
      </c>
      <c r="AU42" s="208">
        <f t="shared" si="13"/>
        <v>0.6492512296</v>
      </c>
      <c r="AV42" s="35">
        <v>67312.0</v>
      </c>
      <c r="AW42" s="201">
        <f t="shared" si="14"/>
        <v>0.7154229596</v>
      </c>
      <c r="AX42" s="185">
        <v>0.0</v>
      </c>
      <c r="AY42" s="185">
        <v>11714.0</v>
      </c>
      <c r="AZ42" s="35">
        <v>326284.0</v>
      </c>
      <c r="BA42" s="35">
        <v>33410.0</v>
      </c>
      <c r="BB42" s="35">
        <v>221993.0</v>
      </c>
      <c r="BC42" s="192"/>
      <c r="BD42" s="190">
        <f t="shared" si="15"/>
        <v>0.436231169</v>
      </c>
      <c r="BE42" s="183">
        <v>253750.0</v>
      </c>
      <c r="BF42" s="35">
        <v>188986.0</v>
      </c>
      <c r="BG42" s="208">
        <f t="shared" si="16"/>
        <v>0.4006079517</v>
      </c>
      <c r="BH42" s="35">
        <v>139315.0</v>
      </c>
      <c r="BI42" s="35">
        <v>57067.0</v>
      </c>
      <c r="BJ42" s="207">
        <f t="shared" si="27"/>
        <v>0.6065343778</v>
      </c>
      <c r="BK42" s="207">
        <f t="shared" si="18"/>
        <v>0.2059264261</v>
      </c>
      <c r="BL42" s="191">
        <v>37389.0</v>
      </c>
      <c r="BM42" s="207">
        <f t="shared" si="28"/>
        <v>0.6551772478</v>
      </c>
      <c r="BN42" s="35">
        <v>150075.0</v>
      </c>
      <c r="BO42" s="35">
        <v>20974.0</v>
      </c>
      <c r="BP42" s="35">
        <v>82701.0</v>
      </c>
      <c r="BQ42" s="35">
        <v>181535.0</v>
      </c>
      <c r="BR42" s="35">
        <v>72215.0</v>
      </c>
      <c r="BS42" s="190">
        <v>0.050261758000506626</v>
      </c>
      <c r="BT42" s="183">
        <v>4762.0</v>
      </c>
      <c r="BU42" s="185">
        <v>4378.0</v>
      </c>
      <c r="BV42" s="209">
        <f t="shared" si="20"/>
        <v>0.05265373375</v>
      </c>
      <c r="BW42" s="201">
        <f t="shared" si="31"/>
        <v>0.9193616128</v>
      </c>
      <c r="BX42" s="185">
        <v>2.0</v>
      </c>
      <c r="BY42" s="185">
        <v>5.0</v>
      </c>
      <c r="BZ42" s="185">
        <v>316.0</v>
      </c>
      <c r="CA42" s="185">
        <v>0.0</v>
      </c>
      <c r="CB42" s="185">
        <v>61.0</v>
      </c>
      <c r="CC42" s="35">
        <v>4382.0</v>
      </c>
      <c r="CD42" s="201">
        <f t="shared" si="32"/>
        <v>0.920201596</v>
      </c>
      <c r="CE42" s="210"/>
      <c r="CF42" s="211">
        <f t="shared" si="26"/>
        <v>0</v>
      </c>
      <c r="CG42" s="194">
        <v>380.0</v>
      </c>
      <c r="CH42" s="195">
        <v>3831.0</v>
      </c>
      <c r="CI42" s="195">
        <v>3784.0</v>
      </c>
      <c r="CJ42" s="196">
        <v>3483.0</v>
      </c>
      <c r="CK42" s="195">
        <v>25.0</v>
      </c>
      <c r="CL42" s="195">
        <v>906.0</v>
      </c>
      <c r="CM42" s="197"/>
      <c r="CN42" s="198"/>
      <c r="CO42" s="198"/>
      <c r="CP42" s="197"/>
      <c r="CQ42" s="197"/>
    </row>
    <row r="43" ht="14.25" customHeight="1">
      <c r="C43" s="230" t="s">
        <v>67</v>
      </c>
      <c r="D43" s="125">
        <v>1489115.0</v>
      </c>
      <c r="E43" s="125">
        <v>1234788.0</v>
      </c>
      <c r="F43" s="125">
        <v>254327.0</v>
      </c>
      <c r="G43" s="125">
        <v>978290.0</v>
      </c>
      <c r="H43" s="125">
        <v>899748.0</v>
      </c>
      <c r="I43" s="114">
        <v>44096.0</v>
      </c>
      <c r="J43" s="125">
        <v>82480.0</v>
      </c>
      <c r="K43" s="125">
        <v>335844.0</v>
      </c>
      <c r="L43" s="125">
        <v>203852.0</v>
      </c>
      <c r="M43" s="125">
        <v>19965.0</v>
      </c>
      <c r="N43" s="125">
        <v>28440.0</v>
      </c>
      <c r="O43" s="125">
        <v>1102552.0</v>
      </c>
      <c r="P43" s="125">
        <v>138302.0</v>
      </c>
      <c r="Q43" s="125">
        <v>248261.0</v>
      </c>
      <c r="R43" s="231">
        <v>2.55740623E8</v>
      </c>
      <c r="S43" s="232"/>
      <c r="T43" s="125">
        <f>sum(T7:T42)</f>
        <v>179298262</v>
      </c>
      <c r="U43" s="201">
        <f t="shared" si="2"/>
        <v>0.7010941785</v>
      </c>
      <c r="V43" s="125">
        <f t="shared" ref="V43:W43" si="33">sum(V7:V42)</f>
        <v>76442361</v>
      </c>
      <c r="W43" s="233">
        <f t="shared" si="33"/>
        <v>137072786</v>
      </c>
      <c r="X43" s="202">
        <f t="shared" si="3"/>
        <v>0.5359836243</v>
      </c>
      <c r="Y43" s="233">
        <f>sum(Y7:Y42)</f>
        <v>27039457</v>
      </c>
      <c r="Z43" s="204">
        <f t="shared" si="4"/>
        <v>0.1057300036</v>
      </c>
      <c r="AA43" s="233">
        <f>sum(AA7:AA42)</f>
        <v>88271316</v>
      </c>
      <c r="AB43" s="204">
        <f t="shared" si="5"/>
        <v>0.3451595408</v>
      </c>
      <c r="AC43" s="204">
        <f t="shared" si="6"/>
        <v>0.01312683124</v>
      </c>
      <c r="AE43" s="125">
        <v>9507123.0</v>
      </c>
      <c r="AF43" s="234"/>
      <c r="AG43" s="206">
        <f t="shared" si="8"/>
        <v>26.89989632</v>
      </c>
      <c r="AI43" s="125">
        <v>6663836.0</v>
      </c>
      <c r="AJ43" s="235">
        <v>0.7009308704641772</v>
      </c>
      <c r="AK43" s="125">
        <v>2843287.0</v>
      </c>
      <c r="AL43" s="125">
        <v>4681968.0</v>
      </c>
      <c r="AM43" s="207">
        <f t="shared" si="9"/>
        <v>0.4924694884</v>
      </c>
      <c r="AN43" s="125">
        <v>4000478.0</v>
      </c>
      <c r="AO43" s="208">
        <f t="shared" si="10"/>
        <v>0.8544436869</v>
      </c>
      <c r="AP43" s="125">
        <v>200478.0</v>
      </c>
      <c r="AQ43" s="125">
        <v>796631.0</v>
      </c>
      <c r="AR43" s="208">
        <f t="shared" si="11"/>
        <v>0.08379306758</v>
      </c>
      <c r="AS43" s="125">
        <v>3540647.0</v>
      </c>
      <c r="AT43" s="208">
        <f t="shared" si="12"/>
        <v>0.3724204473</v>
      </c>
      <c r="AU43" s="208">
        <f t="shared" si="13"/>
        <v>0.1200490411</v>
      </c>
      <c r="AV43" s="125">
        <v>1848924.0</v>
      </c>
      <c r="AW43" s="201">
        <f t="shared" si="14"/>
        <v>0.5221994737</v>
      </c>
      <c r="AX43" s="125">
        <v>94277.0</v>
      </c>
      <c r="AY43" s="125">
        <v>193122.0</v>
      </c>
      <c r="AZ43" s="125">
        <v>4835241.0</v>
      </c>
      <c r="BA43" s="125">
        <v>2555279.0</v>
      </c>
      <c r="BB43" s="125">
        <v>2116603.0</v>
      </c>
      <c r="BC43" s="236"/>
      <c r="BD43" s="235">
        <f t="shared" si="15"/>
        <v>0.5129556018</v>
      </c>
      <c r="BE43" s="237">
        <v>4876732.0</v>
      </c>
      <c r="BF43" s="237">
        <v>2071826.0</v>
      </c>
      <c r="BG43" s="208">
        <f t="shared" si="16"/>
        <v>0.4425117814</v>
      </c>
      <c r="BH43" s="114">
        <f t="shared" ref="BH43:BI43" si="34">SUM(BH7:BH42)</f>
        <v>1647759</v>
      </c>
      <c r="BI43" s="114">
        <f t="shared" si="34"/>
        <v>2232038</v>
      </c>
      <c r="BJ43" s="208">
        <f t="shared" si="27"/>
        <v>0.6304039911</v>
      </c>
      <c r="BK43" s="208">
        <f t="shared" si="18"/>
        <v>0.1878922098</v>
      </c>
      <c r="BL43" s="114">
        <f>SUM(BL7:BL42)</f>
        <v>1002117</v>
      </c>
      <c r="BM43" s="208">
        <f t="shared" si="28"/>
        <v>0.4489695068</v>
      </c>
      <c r="BN43" s="237">
        <v>2458330.0</v>
      </c>
      <c r="BO43" s="237">
        <v>1540439.0</v>
      </c>
      <c r="BP43" s="237">
        <v>877963.0</v>
      </c>
      <c r="BQ43" s="237">
        <v>2963057.0</v>
      </c>
      <c r="BR43" s="237">
        <v>1913675.0</v>
      </c>
      <c r="BS43" s="235">
        <v>0.07876154628756006</v>
      </c>
      <c r="BT43" s="125">
        <v>117285.0</v>
      </c>
      <c r="BU43" s="125">
        <v>92901.0</v>
      </c>
      <c r="BV43" s="209">
        <f t="shared" si="20"/>
        <v>0.09496263889</v>
      </c>
      <c r="BW43" s="201">
        <f t="shared" si="31"/>
        <v>0.792096176</v>
      </c>
      <c r="BX43" s="228">
        <v>11517.0</v>
      </c>
      <c r="BY43" s="125">
        <v>3911.0</v>
      </c>
      <c r="BZ43" s="125">
        <v>6914.0</v>
      </c>
      <c r="CA43" s="125">
        <v>1288.0</v>
      </c>
      <c r="CB43" s="125">
        <v>754.0</v>
      </c>
      <c r="CC43" s="114">
        <v>107916.0</v>
      </c>
      <c r="CD43" s="201">
        <f t="shared" si="32"/>
        <v>0.9201176621</v>
      </c>
      <c r="CE43" s="238"/>
      <c r="CF43" s="211">
        <f t="shared" si="26"/>
        <v>0</v>
      </c>
      <c r="CG43" s="239">
        <v>9369.0</v>
      </c>
      <c r="CH43" s="240">
        <f t="shared" ref="CH43:CL43" si="35">SUM(CH7:CH42)</f>
        <v>105067</v>
      </c>
      <c r="CI43" s="240">
        <f t="shared" si="35"/>
        <v>98436</v>
      </c>
      <c r="CJ43" s="241">
        <f t="shared" si="35"/>
        <v>84508</v>
      </c>
      <c r="CK43" s="241">
        <f t="shared" si="35"/>
        <v>617</v>
      </c>
      <c r="CL43" s="242">
        <f t="shared" si="35"/>
        <v>11601</v>
      </c>
    </row>
    <row r="44" ht="14.25" customHeight="1">
      <c r="R44" s="231">
        <v>2.55740623E8</v>
      </c>
      <c r="T44" s="53">
        <f>T43/R44</f>
        <v>0.7010941785</v>
      </c>
      <c r="U44" s="53"/>
      <c r="V44" s="53">
        <f>V43/R44</f>
        <v>0.2989058215</v>
      </c>
      <c r="W44" s="243">
        <f>W43/R44</f>
        <v>0.5359836243</v>
      </c>
      <c r="X44" s="243"/>
      <c r="Y44" s="243">
        <f>Y43/R44</f>
        <v>0.1057300036</v>
      </c>
      <c r="Z44" s="243"/>
      <c r="AA44" s="243">
        <f>AA43/R44</f>
        <v>0.3451595408</v>
      </c>
      <c r="AB44" s="243"/>
      <c r="AC44" s="243"/>
      <c r="AF44" s="141"/>
      <c r="AM44" s="244"/>
      <c r="AN44" s="53"/>
      <c r="AP44" s="53">
        <f>AP43/AE43</f>
        <v>0.02108713646</v>
      </c>
      <c r="AQ44" s="53">
        <f>AQ43/AE43</f>
        <v>0.08379306758</v>
      </c>
      <c r="AZ44" s="53">
        <f>AZ43/A3</f>
        <v>0.5085914004</v>
      </c>
      <c r="BA44" s="53">
        <f>BA43/A3</f>
        <v>0.268775212</v>
      </c>
      <c r="BB44" s="53">
        <f>BB43/A3</f>
        <v>0.2226333876</v>
      </c>
      <c r="BC44" s="245"/>
      <c r="BD44" s="183"/>
      <c r="BE44" s="246"/>
      <c r="BI44" s="246"/>
      <c r="BJ44" s="208"/>
      <c r="BK44" s="246"/>
      <c r="BL44" s="246"/>
      <c r="BQ44" s="246">
        <f>BQ43/AI43</f>
        <v>0.4446473473</v>
      </c>
      <c r="BR44" s="246">
        <f>BR43/AK43</f>
        <v>0.6730502408</v>
      </c>
      <c r="BT44" s="53">
        <f>(BT43/D43)</f>
        <v>0.07876154629</v>
      </c>
      <c r="BU44" s="246">
        <f>BU43/BT43</f>
        <v>0.792096176</v>
      </c>
      <c r="BV44" s="209"/>
      <c r="BW44" s="185"/>
      <c r="BX44" s="247"/>
      <c r="BY44" s="247"/>
      <c r="BZ44" s="246">
        <f>BZ43/BT43</f>
        <v>0.05895041992</v>
      </c>
    </row>
    <row r="45" ht="14.25" customHeight="1">
      <c r="R45" s="143"/>
      <c r="W45" s="248"/>
      <c r="X45" s="243">
        <f>W44+Y44+AA44</f>
        <v>0.9868731688</v>
      </c>
      <c r="Y45" s="248"/>
      <c r="Z45" s="248"/>
      <c r="AA45" s="248"/>
      <c r="AB45" s="248"/>
      <c r="AC45" s="248"/>
      <c r="AF45" s="141"/>
      <c r="AM45" s="141"/>
      <c r="BC45" s="142"/>
      <c r="BM45" s="246"/>
      <c r="BN45" s="246">
        <f t="shared" ref="BN45:BP45" si="36">BN43/AZ43</f>
        <v>0.5084193321</v>
      </c>
      <c r="BO45" s="246">
        <f t="shared" si="36"/>
        <v>0.6028457167</v>
      </c>
      <c r="BP45" s="246">
        <f t="shared" si="36"/>
        <v>0.4147981459</v>
      </c>
      <c r="BW45" s="185"/>
      <c r="CE45" s="249"/>
      <c r="CF45" s="250"/>
    </row>
    <row r="46" ht="14.25" customHeight="1">
      <c r="R46" s="143">
        <f>sum(R7:R42)</f>
        <v>255740623</v>
      </c>
      <c r="AF46" s="141"/>
      <c r="AM46" s="141"/>
      <c r="BC46" s="142"/>
      <c r="BE46" s="2" t="s">
        <v>188</v>
      </c>
      <c r="BH46" s="53">
        <f>BF43/AL43</f>
        <v>0.4425117814</v>
      </c>
      <c r="BI46" s="251">
        <f>BI43/AS43</f>
        <v>0.6304039911</v>
      </c>
      <c r="CC46" s="2">
        <v>75951.0</v>
      </c>
    </row>
    <row r="47" ht="14.25" customHeight="1">
      <c r="R47" s="143"/>
      <c r="W47" s="252" t="s">
        <v>189</v>
      </c>
      <c r="X47" s="252"/>
      <c r="Y47" s="252"/>
      <c r="Z47" s="252"/>
      <c r="AA47" s="252"/>
      <c r="AB47" s="253"/>
      <c r="AC47" s="253"/>
      <c r="AF47" s="141"/>
      <c r="AG47" s="254" t="s">
        <v>190</v>
      </c>
      <c r="AM47" s="141"/>
      <c r="BC47" s="142"/>
      <c r="BE47" s="2" t="s">
        <v>191</v>
      </c>
      <c r="BH47" s="53">
        <v>0.6304039911349536</v>
      </c>
    </row>
    <row r="48" ht="14.25" customHeight="1">
      <c r="R48" s="143"/>
      <c r="AF48" s="141"/>
      <c r="AM48" s="141"/>
      <c r="BC48" s="142"/>
      <c r="BE48" s="2" t="s">
        <v>192</v>
      </c>
      <c r="BH48" s="53">
        <f>BH43/BF43</f>
        <v>0.7953172709</v>
      </c>
    </row>
    <row r="49" ht="14.25" customHeight="1">
      <c r="R49" s="143"/>
      <c r="AF49" s="141"/>
      <c r="AM49" s="141"/>
      <c r="BC49" s="142"/>
      <c r="BE49" s="2" t="s">
        <v>193</v>
      </c>
      <c r="BH49" s="53">
        <f>BL43/BI43</f>
        <v>0.4489695068</v>
      </c>
    </row>
    <row r="50" ht="14.25" customHeight="1">
      <c r="R50" s="143"/>
      <c r="AF50" s="141"/>
      <c r="AM50" s="141"/>
      <c r="AN50" s="255">
        <v>49.25</v>
      </c>
      <c r="AO50" s="255">
        <v>37.24</v>
      </c>
      <c r="AP50" s="255">
        <v>8.38</v>
      </c>
      <c r="AU50" s="251">
        <f>AP28/AE28</f>
        <v>0.1371239809</v>
      </c>
      <c r="BC50" s="142"/>
    </row>
    <row r="51" ht="14.25" customHeight="1">
      <c r="R51" s="143"/>
      <c r="AF51" s="141"/>
      <c r="AM51" s="141"/>
      <c r="AN51" s="255">
        <v>10.0</v>
      </c>
      <c r="AO51" s="256">
        <f>10*37.24/49.25</f>
        <v>7.56142132</v>
      </c>
      <c r="AP51" s="256">
        <f>10*8.38/49.25</f>
        <v>1.701522843</v>
      </c>
      <c r="BC51" s="142"/>
    </row>
    <row r="52" ht="14.25" customHeight="1">
      <c r="R52" s="257">
        <v>2.6523583E8</v>
      </c>
      <c r="AF52" s="141"/>
      <c r="AM52" s="141"/>
      <c r="BC52" s="142"/>
    </row>
    <row r="53" ht="14.25" customHeight="1">
      <c r="R53" s="143"/>
      <c r="AF53" s="141"/>
      <c r="AM53" s="141"/>
      <c r="BC53" s="142"/>
    </row>
    <row r="54" ht="14.25" customHeight="1">
      <c r="R54" s="143"/>
      <c r="AF54" s="141"/>
      <c r="AM54" s="141"/>
      <c r="BC54" s="142"/>
    </row>
    <row r="55" ht="14.25" customHeight="1">
      <c r="R55" s="143"/>
      <c r="AF55" s="141"/>
      <c r="AM55" s="141"/>
      <c r="BC55" s="142"/>
    </row>
    <row r="56" ht="14.25" customHeight="1">
      <c r="R56" s="143"/>
      <c r="AF56" s="141"/>
      <c r="AM56" s="141"/>
      <c r="BC56" s="142"/>
    </row>
    <row r="57" ht="14.25" customHeight="1">
      <c r="R57" s="143"/>
      <c r="AF57" s="141"/>
      <c r="AM57" s="141"/>
      <c r="BC57" s="142"/>
    </row>
    <row r="58" ht="14.25" customHeight="1">
      <c r="D58" s="2" t="s">
        <v>119</v>
      </c>
      <c r="R58" s="143"/>
      <c r="AF58" s="141"/>
      <c r="AM58" s="141"/>
      <c r="BC58" s="142"/>
    </row>
    <row r="59" ht="14.25" customHeight="1">
      <c r="C59" s="182" t="s">
        <v>147</v>
      </c>
      <c r="D59" s="143">
        <v>13.986176860443098</v>
      </c>
      <c r="R59" s="143"/>
      <c r="AF59" s="141"/>
      <c r="AM59" s="141"/>
      <c r="BC59" s="142"/>
    </row>
    <row r="60" ht="14.25" customHeight="1">
      <c r="C60" s="182" t="s">
        <v>151</v>
      </c>
      <c r="D60" s="143">
        <v>14.948411861475513</v>
      </c>
      <c r="R60" s="143"/>
      <c r="AF60" s="141"/>
      <c r="AM60" s="141"/>
      <c r="BC60" s="142"/>
    </row>
    <row r="61" ht="14.25" customHeight="1">
      <c r="C61" s="182" t="s">
        <v>164</v>
      </c>
      <c r="D61" s="143">
        <v>14.350559733165563</v>
      </c>
      <c r="R61" s="143"/>
      <c r="AF61" s="141"/>
      <c r="AM61" s="141"/>
      <c r="BC61" s="142"/>
    </row>
    <row r="62" ht="14.25" customHeight="1">
      <c r="C62" s="182" t="s">
        <v>165</v>
      </c>
      <c r="D62" s="143">
        <v>16.268978971431306</v>
      </c>
      <c r="R62" s="143"/>
      <c r="AF62" s="141"/>
      <c r="AM62" s="141"/>
      <c r="BC62" s="142"/>
    </row>
    <row r="63" ht="14.25" customHeight="1">
      <c r="C63" s="182" t="s">
        <v>169</v>
      </c>
      <c r="D63" s="143">
        <v>9.713728675873273</v>
      </c>
      <c r="R63" s="143"/>
      <c r="AF63" s="141"/>
      <c r="AM63" s="141"/>
      <c r="BC63" s="142"/>
    </row>
    <row r="64" ht="14.25" customHeight="1">
      <c r="C64" s="182" t="s">
        <v>170</v>
      </c>
      <c r="D64" s="143">
        <v>16.856079404466502</v>
      </c>
      <c r="R64" s="143"/>
      <c r="AF64" s="141"/>
      <c r="AM64" s="141"/>
      <c r="BC64" s="142"/>
    </row>
    <row r="65" ht="14.25" customHeight="1">
      <c r="C65" s="182" t="s">
        <v>173</v>
      </c>
      <c r="D65" s="143">
        <v>16.240136819417113</v>
      </c>
      <c r="R65" s="143"/>
      <c r="AF65" s="141"/>
      <c r="AM65" s="141"/>
      <c r="BC65" s="142"/>
    </row>
    <row r="66" ht="14.25" customHeight="1">
      <c r="C66" s="182" t="s">
        <v>175</v>
      </c>
      <c r="D66" s="143">
        <v>13.26303175554224</v>
      </c>
      <c r="R66" s="143"/>
      <c r="AF66" s="141"/>
      <c r="AM66" s="141"/>
      <c r="BC66" s="142"/>
    </row>
    <row r="67" ht="14.25" customHeight="1">
      <c r="C67" s="182" t="s">
        <v>176</v>
      </c>
      <c r="D67" s="143">
        <v>14.132730399337621</v>
      </c>
      <c r="R67" s="143"/>
      <c r="AF67" s="141"/>
      <c r="AM67" s="141"/>
      <c r="BC67" s="142"/>
    </row>
    <row r="68" ht="14.25" customHeight="1">
      <c r="C68" s="182" t="s">
        <v>181</v>
      </c>
      <c r="D68" s="143">
        <v>9.987732314699185</v>
      </c>
      <c r="R68" s="143"/>
      <c r="AF68" s="141"/>
      <c r="AM68" s="141"/>
      <c r="BC68" s="142"/>
    </row>
    <row r="69" ht="14.25" customHeight="1">
      <c r="C69" s="182" t="s">
        <v>184</v>
      </c>
      <c r="D69" s="143">
        <v>19.59382976971427</v>
      </c>
      <c r="R69" s="143"/>
      <c r="AF69" s="141"/>
      <c r="AM69" s="141"/>
      <c r="BC69" s="142"/>
    </row>
    <row r="70" ht="14.25" customHeight="1">
      <c r="C70" s="182" t="s">
        <v>186</v>
      </c>
      <c r="D70" s="143">
        <v>19.883826250689868</v>
      </c>
      <c r="R70" s="143"/>
      <c r="AF70" s="141"/>
      <c r="AM70" s="141"/>
      <c r="BC70" s="142"/>
    </row>
    <row r="71" ht="14.25" customHeight="1">
      <c r="R71" s="143"/>
      <c r="AF71" s="141"/>
      <c r="AM71" s="141"/>
      <c r="BC71" s="142"/>
    </row>
    <row r="72" ht="14.25" customHeight="1">
      <c r="R72" s="143"/>
      <c r="AF72" s="141"/>
      <c r="AM72" s="141"/>
      <c r="BC72" s="142"/>
    </row>
    <row r="73" ht="14.25" customHeight="1">
      <c r="R73" s="143"/>
      <c r="AF73" s="141"/>
      <c r="AM73" s="141"/>
      <c r="BC73" s="142"/>
    </row>
    <row r="74" ht="14.25" customHeight="1">
      <c r="R74" s="143"/>
      <c r="AF74" s="141"/>
      <c r="AM74" s="141"/>
      <c r="BC74" s="142"/>
    </row>
    <row r="75" ht="14.25" customHeight="1">
      <c r="R75" s="143"/>
      <c r="AF75" s="141"/>
      <c r="AM75" s="141"/>
      <c r="BC75" s="142"/>
    </row>
    <row r="76" ht="14.25" customHeight="1">
      <c r="R76" s="143"/>
      <c r="AF76" s="141"/>
      <c r="AM76" s="141"/>
      <c r="BC76" s="142"/>
    </row>
    <row r="77" ht="14.25" customHeight="1">
      <c r="R77" s="143"/>
      <c r="AF77" s="141"/>
      <c r="AM77" s="141"/>
      <c r="BC77" s="142"/>
    </row>
    <row r="78" ht="14.25" customHeight="1">
      <c r="R78" s="143"/>
      <c r="AF78" s="141"/>
      <c r="AM78" s="141"/>
      <c r="BC78" s="142"/>
    </row>
    <row r="79" ht="14.25" customHeight="1">
      <c r="R79" s="143"/>
      <c r="AF79" s="141"/>
      <c r="AM79" s="141"/>
      <c r="BC79" s="142"/>
    </row>
    <row r="80" ht="14.25" customHeight="1">
      <c r="R80" s="143"/>
      <c r="AF80" s="141"/>
      <c r="AM80" s="141"/>
      <c r="BC80" s="142"/>
    </row>
    <row r="81" ht="14.25" customHeight="1">
      <c r="R81" s="143"/>
      <c r="AF81" s="141"/>
      <c r="AM81" s="141"/>
      <c r="BC81" s="142"/>
    </row>
    <row r="82" ht="14.25" customHeight="1">
      <c r="R82" s="143"/>
      <c r="AF82" s="141"/>
      <c r="AM82" s="141"/>
      <c r="BC82" s="142"/>
    </row>
    <row r="83" ht="14.25" customHeight="1">
      <c r="R83" s="143"/>
      <c r="AF83" s="141"/>
      <c r="AM83" s="141"/>
      <c r="BC83" s="142"/>
    </row>
    <row r="84" ht="14.25" customHeight="1">
      <c r="R84" s="143"/>
      <c r="AF84" s="141"/>
      <c r="AM84" s="141"/>
      <c r="BC84" s="142"/>
    </row>
    <row r="85" ht="14.25" customHeight="1">
      <c r="R85" s="143"/>
      <c r="AF85" s="141"/>
      <c r="AM85" s="141"/>
      <c r="BC85" s="142"/>
    </row>
    <row r="86" ht="14.25" customHeight="1">
      <c r="R86" s="143"/>
      <c r="AF86" s="141"/>
      <c r="AM86" s="141"/>
      <c r="BC86" s="142"/>
    </row>
    <row r="87" ht="14.25" customHeight="1">
      <c r="R87" s="143"/>
      <c r="AF87" s="141"/>
      <c r="AM87" s="141"/>
      <c r="BC87" s="142"/>
    </row>
    <row r="88" ht="14.25" customHeight="1">
      <c r="R88" s="143"/>
      <c r="AF88" s="141"/>
      <c r="AM88" s="141"/>
      <c r="BC88" s="142"/>
    </row>
    <row r="89" ht="14.25" customHeight="1">
      <c r="R89" s="143"/>
      <c r="AF89" s="141"/>
      <c r="AM89" s="141"/>
      <c r="BC89" s="142"/>
    </row>
    <row r="90" ht="14.25" customHeight="1">
      <c r="R90" s="143"/>
      <c r="AF90" s="141"/>
      <c r="AM90" s="141"/>
      <c r="BC90" s="142"/>
    </row>
    <row r="91" ht="14.25" customHeight="1">
      <c r="R91" s="143"/>
      <c r="AF91" s="141"/>
      <c r="AM91" s="141"/>
      <c r="BC91" s="142"/>
    </row>
    <row r="92" ht="14.25" customHeight="1">
      <c r="R92" s="143"/>
      <c r="AF92" s="141"/>
      <c r="AM92" s="141"/>
      <c r="BC92" s="142"/>
    </row>
    <row r="93" ht="14.25" customHeight="1">
      <c r="R93" s="143"/>
      <c r="AF93" s="141"/>
      <c r="AM93" s="141"/>
      <c r="BC93" s="142"/>
    </row>
    <row r="94" ht="14.25" customHeight="1">
      <c r="R94" s="143"/>
      <c r="AF94" s="141"/>
      <c r="AM94" s="141"/>
      <c r="BC94" s="142"/>
    </row>
    <row r="95" ht="14.25" customHeight="1">
      <c r="R95" s="143"/>
      <c r="AF95" s="141"/>
      <c r="AM95" s="141"/>
      <c r="BC95" s="142"/>
    </row>
    <row r="96" ht="14.25" customHeight="1">
      <c r="R96" s="143"/>
      <c r="AF96" s="141"/>
      <c r="AM96" s="141"/>
      <c r="BC96" s="142"/>
    </row>
    <row r="97" ht="14.25" customHeight="1">
      <c r="R97" s="143"/>
      <c r="AF97" s="141"/>
      <c r="AM97" s="141"/>
      <c r="BC97" s="142"/>
    </row>
    <row r="98" ht="14.25" customHeight="1">
      <c r="R98" s="143"/>
      <c r="AF98" s="141"/>
      <c r="AM98" s="141"/>
      <c r="BC98" s="142"/>
    </row>
    <row r="99" ht="14.25" customHeight="1">
      <c r="R99" s="143"/>
      <c r="AF99" s="141"/>
      <c r="AM99" s="141"/>
      <c r="BC99" s="142"/>
    </row>
    <row r="100" ht="14.25" customHeight="1">
      <c r="R100" s="143"/>
      <c r="AF100" s="141"/>
      <c r="AM100" s="141"/>
      <c r="BC100" s="142"/>
    </row>
    <row r="101" ht="14.25" customHeight="1">
      <c r="R101" s="143"/>
      <c r="AF101" s="141"/>
      <c r="AM101" s="141"/>
      <c r="BC101" s="142"/>
    </row>
    <row r="102" ht="14.25" customHeight="1">
      <c r="R102" s="143"/>
      <c r="AF102" s="141"/>
      <c r="AM102" s="141"/>
      <c r="BC102" s="142"/>
    </row>
    <row r="103" ht="14.25" customHeight="1">
      <c r="R103" s="143"/>
      <c r="AF103" s="141"/>
      <c r="AM103" s="141"/>
      <c r="BC103" s="142"/>
    </row>
    <row r="104" ht="14.25" customHeight="1">
      <c r="R104" s="143"/>
      <c r="AF104" s="141"/>
      <c r="AM104" s="141"/>
      <c r="BC104" s="142"/>
    </row>
    <row r="105" ht="14.25" customHeight="1">
      <c r="R105" s="143"/>
      <c r="AF105" s="141"/>
      <c r="AM105" s="141"/>
      <c r="BC105" s="142"/>
    </row>
    <row r="106" ht="14.25" customHeight="1">
      <c r="R106" s="143"/>
      <c r="AF106" s="141"/>
      <c r="AM106" s="141"/>
      <c r="BC106" s="142"/>
    </row>
    <row r="107" ht="14.25" customHeight="1">
      <c r="R107" s="143"/>
      <c r="AF107" s="141"/>
      <c r="AM107" s="141"/>
      <c r="BC107" s="142"/>
    </row>
    <row r="108" ht="14.25" customHeight="1">
      <c r="R108" s="143"/>
      <c r="AF108" s="141"/>
      <c r="AM108" s="141"/>
      <c r="BC108" s="142"/>
    </row>
    <row r="109" ht="14.25" customHeight="1">
      <c r="R109" s="143"/>
      <c r="AF109" s="141"/>
      <c r="AM109" s="141"/>
      <c r="BC109" s="142"/>
    </row>
    <row r="110" ht="14.25" customHeight="1">
      <c r="R110" s="143"/>
      <c r="AF110" s="141"/>
      <c r="AM110" s="141"/>
      <c r="BC110" s="142"/>
    </row>
    <row r="111" ht="14.25" customHeight="1">
      <c r="R111" s="143"/>
      <c r="AF111" s="141"/>
      <c r="AM111" s="141"/>
      <c r="BC111" s="142"/>
    </row>
    <row r="112" ht="14.25" customHeight="1">
      <c r="R112" s="143"/>
      <c r="AF112" s="141"/>
      <c r="AM112" s="141"/>
      <c r="BC112" s="142"/>
    </row>
    <row r="113" ht="14.25" customHeight="1">
      <c r="R113" s="143"/>
      <c r="AF113" s="141"/>
      <c r="AM113" s="141"/>
      <c r="BC113" s="142"/>
    </row>
    <row r="114" ht="14.25" customHeight="1">
      <c r="R114" s="143"/>
      <c r="AF114" s="141"/>
      <c r="AM114" s="141"/>
      <c r="BC114" s="142"/>
    </row>
    <row r="115" ht="14.25" customHeight="1">
      <c r="R115" s="143"/>
      <c r="AF115" s="141"/>
      <c r="AM115" s="141"/>
      <c r="BC115" s="142"/>
    </row>
    <row r="116" ht="14.25" customHeight="1">
      <c r="R116" s="143"/>
      <c r="AF116" s="141"/>
      <c r="AM116" s="141"/>
      <c r="BC116" s="142"/>
    </row>
    <row r="117" ht="14.25" customHeight="1">
      <c r="R117" s="143"/>
      <c r="AF117" s="141"/>
      <c r="AM117" s="141"/>
      <c r="BC117" s="142"/>
    </row>
    <row r="118" ht="14.25" customHeight="1">
      <c r="R118" s="143"/>
      <c r="AF118" s="141"/>
      <c r="AM118" s="141"/>
      <c r="BC118" s="142"/>
    </row>
    <row r="119" ht="14.25" customHeight="1">
      <c r="R119" s="143"/>
      <c r="AF119" s="141"/>
      <c r="AM119" s="141"/>
      <c r="BC119" s="142"/>
    </row>
    <row r="120" ht="14.25" customHeight="1">
      <c r="R120" s="143"/>
      <c r="AF120" s="141"/>
      <c r="AM120" s="141"/>
      <c r="BC120" s="142"/>
    </row>
    <row r="121" ht="14.25" customHeight="1">
      <c r="R121" s="143"/>
      <c r="AF121" s="141"/>
      <c r="AM121" s="141"/>
      <c r="BC121" s="142"/>
    </row>
    <row r="122" ht="14.25" customHeight="1">
      <c r="R122" s="143"/>
      <c r="AF122" s="141"/>
      <c r="AM122" s="141"/>
      <c r="BC122" s="142"/>
    </row>
    <row r="123" ht="14.25" customHeight="1">
      <c r="R123" s="143"/>
      <c r="AF123" s="141"/>
      <c r="AM123" s="141"/>
      <c r="BC123" s="142"/>
    </row>
    <row r="124" ht="14.25" customHeight="1">
      <c r="R124" s="143"/>
      <c r="AF124" s="141"/>
      <c r="AM124" s="141"/>
      <c r="BC124" s="142"/>
    </row>
    <row r="125" ht="14.25" customHeight="1">
      <c r="R125" s="143"/>
      <c r="AF125" s="141"/>
      <c r="AM125" s="141"/>
      <c r="BC125" s="142"/>
    </row>
    <row r="126" ht="14.25" customHeight="1">
      <c r="R126" s="143"/>
      <c r="AF126" s="141"/>
      <c r="AM126" s="141"/>
      <c r="BC126" s="142"/>
    </row>
    <row r="127" ht="14.25" customHeight="1">
      <c r="R127" s="143"/>
      <c r="AF127" s="141"/>
      <c r="AM127" s="141"/>
      <c r="BC127" s="142"/>
    </row>
    <row r="128" ht="14.25" customHeight="1">
      <c r="R128" s="143"/>
      <c r="AF128" s="141"/>
      <c r="AM128" s="141"/>
      <c r="BC128" s="142"/>
    </row>
    <row r="129" ht="14.25" customHeight="1">
      <c r="R129" s="143"/>
      <c r="AF129" s="141"/>
      <c r="AM129" s="141"/>
      <c r="BC129" s="142"/>
    </row>
    <row r="130" ht="14.25" customHeight="1">
      <c r="R130" s="143"/>
      <c r="AF130" s="141"/>
      <c r="AM130" s="141"/>
      <c r="BC130" s="142"/>
    </row>
    <row r="131" ht="14.25" customHeight="1">
      <c r="R131" s="143"/>
      <c r="AF131" s="141"/>
      <c r="AM131" s="141"/>
      <c r="BC131" s="142"/>
    </row>
    <row r="132" ht="14.25" customHeight="1">
      <c r="R132" s="143"/>
      <c r="AF132" s="141"/>
      <c r="AM132" s="141"/>
      <c r="BC132" s="142"/>
    </row>
    <row r="133" ht="14.25" customHeight="1">
      <c r="R133" s="143"/>
      <c r="AF133" s="141"/>
      <c r="AM133" s="141"/>
      <c r="BC133" s="142"/>
    </row>
    <row r="134" ht="14.25" customHeight="1">
      <c r="R134" s="143"/>
      <c r="AF134" s="141"/>
      <c r="AM134" s="141"/>
      <c r="BC134" s="142"/>
    </row>
    <row r="135" ht="14.25" customHeight="1">
      <c r="R135" s="143"/>
      <c r="AF135" s="141"/>
      <c r="AM135" s="141"/>
      <c r="BC135" s="142"/>
    </row>
    <row r="136" ht="14.25" customHeight="1">
      <c r="R136" s="143"/>
      <c r="AF136" s="141"/>
      <c r="AM136" s="141"/>
      <c r="BC136" s="142"/>
    </row>
    <row r="137" ht="14.25" customHeight="1">
      <c r="R137" s="143"/>
      <c r="AF137" s="141"/>
      <c r="AM137" s="141"/>
      <c r="BC137" s="142"/>
    </row>
    <row r="138" ht="14.25" customHeight="1">
      <c r="R138" s="143"/>
      <c r="AF138" s="141"/>
      <c r="AM138" s="141"/>
      <c r="BC138" s="142"/>
    </row>
    <row r="139" ht="14.25" customHeight="1">
      <c r="R139" s="143"/>
      <c r="AF139" s="141"/>
      <c r="AM139" s="141"/>
      <c r="BC139" s="142"/>
    </row>
    <row r="140" ht="14.25" customHeight="1">
      <c r="R140" s="143"/>
      <c r="AF140" s="141"/>
      <c r="AM140" s="141"/>
      <c r="BC140" s="142"/>
    </row>
    <row r="141" ht="14.25" customHeight="1">
      <c r="R141" s="143"/>
      <c r="AF141" s="141"/>
      <c r="AM141" s="141"/>
      <c r="BC141" s="142"/>
    </row>
    <row r="142" ht="14.25" customHeight="1">
      <c r="R142" s="143"/>
      <c r="AF142" s="141"/>
      <c r="AM142" s="141"/>
      <c r="BC142" s="142"/>
    </row>
    <row r="143" ht="14.25" customHeight="1">
      <c r="R143" s="143"/>
      <c r="AF143" s="141"/>
      <c r="AM143" s="141"/>
      <c r="BC143" s="142"/>
    </row>
    <row r="144" ht="14.25" customHeight="1">
      <c r="R144" s="143"/>
      <c r="AF144" s="141"/>
      <c r="AM144" s="141"/>
      <c r="BC144" s="142"/>
    </row>
    <row r="145" ht="14.25" customHeight="1">
      <c r="R145" s="143"/>
      <c r="AF145" s="141"/>
      <c r="AM145" s="141"/>
      <c r="BC145" s="142"/>
    </row>
    <row r="146" ht="14.25" customHeight="1">
      <c r="R146" s="143"/>
      <c r="AF146" s="141"/>
      <c r="AM146" s="141"/>
      <c r="BC146" s="142"/>
    </row>
    <row r="147" ht="14.25" customHeight="1">
      <c r="R147" s="143"/>
      <c r="AF147" s="141"/>
      <c r="AM147" s="141"/>
      <c r="BC147" s="142"/>
    </row>
    <row r="148" ht="14.25" customHeight="1">
      <c r="R148" s="143"/>
      <c r="AF148" s="141"/>
      <c r="AM148" s="141"/>
      <c r="BC148" s="142"/>
    </row>
    <row r="149" ht="14.25" customHeight="1">
      <c r="R149" s="143"/>
      <c r="AF149" s="141"/>
      <c r="AM149" s="141"/>
      <c r="BC149" s="142"/>
    </row>
    <row r="150" ht="14.25" customHeight="1">
      <c r="R150" s="143"/>
      <c r="AF150" s="141"/>
      <c r="AM150" s="141"/>
      <c r="BC150" s="142"/>
    </row>
    <row r="151" ht="14.25" customHeight="1">
      <c r="R151" s="143"/>
      <c r="AF151" s="141"/>
      <c r="AM151" s="141"/>
      <c r="BC151" s="142"/>
    </row>
    <row r="152" ht="14.25" customHeight="1">
      <c r="R152" s="143"/>
      <c r="AF152" s="141"/>
      <c r="AM152" s="141"/>
      <c r="BC152" s="142"/>
    </row>
    <row r="153" ht="14.25" customHeight="1">
      <c r="R153" s="143"/>
      <c r="AF153" s="141"/>
      <c r="AM153" s="141"/>
      <c r="BC153" s="142"/>
    </row>
    <row r="154" ht="14.25" customHeight="1">
      <c r="R154" s="143"/>
      <c r="AF154" s="141"/>
      <c r="AM154" s="141"/>
      <c r="BC154" s="142"/>
    </row>
    <row r="155" ht="14.25" customHeight="1">
      <c r="R155" s="143"/>
      <c r="AF155" s="141"/>
      <c r="AM155" s="141"/>
      <c r="BC155" s="142"/>
    </row>
    <row r="156" ht="14.25" customHeight="1">
      <c r="R156" s="143"/>
      <c r="AF156" s="141"/>
      <c r="AM156" s="141"/>
      <c r="BC156" s="142"/>
    </row>
    <row r="157" ht="14.25" customHeight="1">
      <c r="R157" s="143"/>
      <c r="AF157" s="141"/>
      <c r="AM157" s="141"/>
      <c r="BC157" s="142"/>
    </row>
    <row r="158" ht="14.25" customHeight="1">
      <c r="R158" s="143"/>
      <c r="AF158" s="141"/>
      <c r="AM158" s="141"/>
      <c r="BC158" s="142"/>
    </row>
    <row r="159" ht="14.25" customHeight="1">
      <c r="R159" s="143"/>
      <c r="AF159" s="141"/>
      <c r="AM159" s="141"/>
      <c r="BC159" s="142"/>
    </row>
    <row r="160" ht="14.25" customHeight="1">
      <c r="R160" s="143"/>
      <c r="AF160" s="141"/>
      <c r="AM160" s="141"/>
      <c r="BC160" s="142"/>
    </row>
    <row r="161" ht="14.25" customHeight="1">
      <c r="R161" s="143"/>
      <c r="AF161" s="141"/>
      <c r="AM161" s="141"/>
      <c r="BC161" s="142"/>
    </row>
    <row r="162" ht="14.25" customHeight="1">
      <c r="R162" s="143"/>
      <c r="AF162" s="141"/>
      <c r="AM162" s="141"/>
      <c r="BC162" s="142"/>
    </row>
    <row r="163" ht="14.25" customHeight="1">
      <c r="R163" s="143"/>
      <c r="AF163" s="141"/>
      <c r="AM163" s="141"/>
      <c r="BC163" s="142"/>
    </row>
    <row r="164" ht="14.25" customHeight="1">
      <c r="R164" s="143"/>
      <c r="AF164" s="141"/>
      <c r="AM164" s="141"/>
      <c r="BC164" s="142"/>
    </row>
    <row r="165" ht="14.25" customHeight="1">
      <c r="R165" s="143"/>
      <c r="AF165" s="141"/>
      <c r="AM165" s="141"/>
      <c r="BC165" s="142"/>
    </row>
    <row r="166" ht="14.25" customHeight="1">
      <c r="R166" s="143"/>
      <c r="AF166" s="141"/>
      <c r="AM166" s="141"/>
      <c r="BC166" s="142"/>
    </row>
    <row r="167" ht="14.25" customHeight="1">
      <c r="R167" s="143"/>
      <c r="AF167" s="141"/>
      <c r="AM167" s="141"/>
      <c r="BC167" s="142"/>
    </row>
    <row r="168" ht="14.25" customHeight="1">
      <c r="R168" s="143"/>
      <c r="AF168" s="141"/>
      <c r="AM168" s="141"/>
      <c r="BC168" s="142"/>
    </row>
    <row r="169" ht="14.25" customHeight="1">
      <c r="R169" s="143"/>
      <c r="AF169" s="141"/>
      <c r="AM169" s="141"/>
      <c r="BC169" s="142"/>
    </row>
    <row r="170" ht="14.25" customHeight="1">
      <c r="R170" s="143"/>
      <c r="AF170" s="141"/>
      <c r="AM170" s="141"/>
      <c r="BC170" s="142"/>
    </row>
    <row r="171" ht="14.25" customHeight="1">
      <c r="R171" s="143"/>
      <c r="AF171" s="141"/>
      <c r="AM171" s="141"/>
      <c r="BC171" s="142"/>
    </row>
    <row r="172" ht="14.25" customHeight="1">
      <c r="R172" s="143"/>
      <c r="AF172" s="141"/>
      <c r="AM172" s="141"/>
      <c r="BC172" s="142"/>
    </row>
    <row r="173" ht="14.25" customHeight="1">
      <c r="R173" s="143"/>
      <c r="AF173" s="141"/>
      <c r="AM173" s="141"/>
      <c r="BC173" s="142"/>
    </row>
    <row r="174" ht="14.25" customHeight="1">
      <c r="R174" s="143"/>
      <c r="AF174" s="141"/>
      <c r="AM174" s="141"/>
      <c r="BC174" s="142"/>
    </row>
    <row r="175" ht="14.25" customHeight="1">
      <c r="R175" s="143"/>
      <c r="AF175" s="141"/>
      <c r="AM175" s="141"/>
      <c r="BC175" s="142"/>
    </row>
    <row r="176" ht="14.25" customHeight="1">
      <c r="R176" s="143"/>
      <c r="AF176" s="141"/>
      <c r="AM176" s="141"/>
      <c r="BC176" s="142"/>
    </row>
    <row r="177" ht="14.25" customHeight="1">
      <c r="R177" s="143"/>
      <c r="AF177" s="141"/>
      <c r="AM177" s="141"/>
      <c r="BC177" s="142"/>
    </row>
    <row r="178" ht="14.25" customHeight="1">
      <c r="R178" s="143"/>
      <c r="AF178" s="141"/>
      <c r="AM178" s="141"/>
      <c r="BC178" s="142"/>
    </row>
    <row r="179" ht="14.25" customHeight="1">
      <c r="R179" s="143"/>
      <c r="AF179" s="141"/>
      <c r="AM179" s="141"/>
      <c r="BC179" s="142"/>
    </row>
    <row r="180" ht="14.25" customHeight="1">
      <c r="R180" s="143"/>
      <c r="AF180" s="141"/>
      <c r="AM180" s="141"/>
      <c r="BC180" s="142"/>
    </row>
    <row r="181" ht="14.25" customHeight="1">
      <c r="R181" s="143"/>
      <c r="AF181" s="141"/>
      <c r="AM181" s="141"/>
      <c r="BC181" s="142"/>
    </row>
    <row r="182" ht="14.25" customHeight="1">
      <c r="R182" s="143"/>
      <c r="AF182" s="141"/>
      <c r="AM182" s="141"/>
      <c r="BC182" s="142"/>
    </row>
    <row r="183" ht="14.25" customHeight="1">
      <c r="R183" s="143"/>
      <c r="AF183" s="141"/>
      <c r="AM183" s="141"/>
      <c r="BC183" s="142"/>
    </row>
    <row r="184" ht="14.25" customHeight="1">
      <c r="R184" s="143"/>
      <c r="AF184" s="141"/>
      <c r="AM184" s="141"/>
      <c r="BC184" s="142"/>
    </row>
    <row r="185" ht="14.25" customHeight="1">
      <c r="R185" s="143"/>
      <c r="AF185" s="141"/>
      <c r="AM185" s="141"/>
      <c r="BC185" s="142"/>
    </row>
    <row r="186" ht="14.25" customHeight="1">
      <c r="R186" s="143"/>
      <c r="AF186" s="141"/>
      <c r="AM186" s="141"/>
      <c r="BC186" s="142"/>
    </row>
    <row r="187" ht="14.25" customHeight="1">
      <c r="R187" s="143"/>
      <c r="AF187" s="141"/>
      <c r="AM187" s="141"/>
      <c r="BC187" s="142"/>
    </row>
    <row r="188" ht="14.25" customHeight="1">
      <c r="R188" s="143"/>
      <c r="AF188" s="141"/>
      <c r="AM188" s="141"/>
      <c r="BC188" s="142"/>
    </row>
    <row r="189" ht="14.25" customHeight="1">
      <c r="R189" s="143"/>
      <c r="AF189" s="141"/>
      <c r="AM189" s="141"/>
      <c r="BC189" s="142"/>
    </row>
    <row r="190" ht="14.25" customHeight="1">
      <c r="R190" s="143"/>
      <c r="AF190" s="141"/>
      <c r="AM190" s="141"/>
      <c r="BC190" s="142"/>
    </row>
    <row r="191" ht="14.25" customHeight="1">
      <c r="R191" s="143"/>
      <c r="AF191" s="141"/>
      <c r="AM191" s="141"/>
      <c r="BC191" s="142"/>
    </row>
    <row r="192" ht="14.25" customHeight="1">
      <c r="R192" s="143"/>
      <c r="AF192" s="141"/>
      <c r="AM192" s="141"/>
      <c r="BC192" s="142"/>
    </row>
    <row r="193" ht="14.25" customHeight="1">
      <c r="R193" s="143"/>
      <c r="AF193" s="141"/>
      <c r="AM193" s="141"/>
      <c r="BC193" s="142"/>
    </row>
    <row r="194" ht="14.25" customHeight="1">
      <c r="R194" s="143"/>
      <c r="AF194" s="141"/>
      <c r="AM194" s="141"/>
      <c r="BC194" s="142"/>
    </row>
    <row r="195" ht="14.25" customHeight="1">
      <c r="R195" s="143"/>
      <c r="AF195" s="141"/>
      <c r="AM195" s="141"/>
      <c r="BC195" s="142"/>
    </row>
    <row r="196" ht="14.25" customHeight="1">
      <c r="R196" s="143"/>
      <c r="AF196" s="141"/>
      <c r="AM196" s="141"/>
      <c r="BC196" s="142"/>
    </row>
    <row r="197" ht="14.25" customHeight="1">
      <c r="R197" s="143"/>
      <c r="AF197" s="141"/>
      <c r="AM197" s="141"/>
      <c r="BC197" s="142"/>
    </row>
    <row r="198" ht="14.25" customHeight="1">
      <c r="R198" s="143"/>
      <c r="AF198" s="141"/>
      <c r="AM198" s="141"/>
      <c r="BC198" s="142"/>
    </row>
    <row r="199" ht="14.25" customHeight="1">
      <c r="R199" s="143"/>
      <c r="AF199" s="141"/>
      <c r="AM199" s="141"/>
      <c r="BC199" s="142"/>
    </row>
    <row r="200" ht="14.25" customHeight="1">
      <c r="R200" s="143"/>
      <c r="AF200" s="141"/>
      <c r="AM200" s="141"/>
      <c r="BC200" s="142"/>
    </row>
    <row r="201" ht="14.25" customHeight="1">
      <c r="R201" s="143"/>
      <c r="AF201" s="141"/>
      <c r="AM201" s="141"/>
      <c r="BC201" s="142"/>
    </row>
    <row r="202" ht="14.25" customHeight="1">
      <c r="R202" s="143"/>
      <c r="AF202" s="141"/>
      <c r="AM202" s="141"/>
      <c r="BC202" s="142"/>
    </row>
    <row r="203" ht="14.25" customHeight="1">
      <c r="R203" s="143"/>
      <c r="AF203" s="141"/>
      <c r="AM203" s="141"/>
      <c r="BC203" s="142"/>
    </row>
    <row r="204" ht="14.25" customHeight="1">
      <c r="R204" s="143"/>
      <c r="AF204" s="141"/>
      <c r="AM204" s="141"/>
      <c r="BC204" s="142"/>
    </row>
    <row r="205" ht="14.25" customHeight="1">
      <c r="R205" s="143"/>
      <c r="AF205" s="141"/>
      <c r="AM205" s="141"/>
      <c r="BC205" s="142"/>
    </row>
    <row r="206" ht="14.25" customHeight="1">
      <c r="R206" s="143"/>
      <c r="AF206" s="141"/>
      <c r="AM206" s="141"/>
      <c r="BC206" s="142"/>
    </row>
    <row r="207" ht="14.25" customHeight="1">
      <c r="R207" s="143"/>
      <c r="AF207" s="141"/>
      <c r="AM207" s="141"/>
      <c r="BC207" s="142"/>
    </row>
    <row r="208" ht="14.25" customHeight="1">
      <c r="R208" s="143"/>
      <c r="AF208" s="141"/>
      <c r="AM208" s="141"/>
      <c r="BC208" s="142"/>
    </row>
    <row r="209" ht="14.25" customHeight="1">
      <c r="R209" s="143"/>
      <c r="AF209" s="141"/>
      <c r="AM209" s="141"/>
      <c r="BC209" s="142"/>
    </row>
    <row r="210" ht="14.25" customHeight="1">
      <c r="R210" s="143"/>
      <c r="AF210" s="141"/>
      <c r="AM210" s="141"/>
      <c r="BC210" s="142"/>
    </row>
    <row r="211" ht="14.25" customHeight="1">
      <c r="R211" s="143"/>
      <c r="AF211" s="141"/>
      <c r="AM211" s="141"/>
      <c r="BC211" s="142"/>
    </row>
    <row r="212" ht="14.25" customHeight="1">
      <c r="R212" s="143"/>
      <c r="AF212" s="141"/>
      <c r="AM212" s="141"/>
      <c r="BC212" s="142"/>
    </row>
    <row r="213" ht="14.25" customHeight="1">
      <c r="R213" s="143"/>
      <c r="AF213" s="141"/>
      <c r="AM213" s="141"/>
      <c r="BC213" s="142"/>
    </row>
    <row r="214" ht="14.25" customHeight="1">
      <c r="R214" s="143"/>
      <c r="AF214" s="141"/>
      <c r="AM214" s="141"/>
      <c r="BC214" s="142"/>
    </row>
    <row r="215" ht="14.25" customHeight="1">
      <c r="R215" s="143"/>
      <c r="AF215" s="141"/>
      <c r="AM215" s="141"/>
      <c r="BC215" s="142"/>
    </row>
    <row r="216" ht="14.25" customHeight="1">
      <c r="R216" s="143"/>
      <c r="AF216" s="141"/>
      <c r="AM216" s="141"/>
      <c r="BC216" s="142"/>
    </row>
    <row r="217" ht="14.25" customHeight="1">
      <c r="R217" s="143"/>
      <c r="AF217" s="141"/>
      <c r="AM217" s="141"/>
      <c r="BC217" s="142"/>
    </row>
    <row r="218" ht="14.25" customHeight="1">
      <c r="R218" s="143"/>
      <c r="AF218" s="141"/>
      <c r="AM218" s="141"/>
      <c r="BC218" s="142"/>
    </row>
    <row r="219" ht="14.25" customHeight="1">
      <c r="R219" s="143"/>
      <c r="AF219" s="141"/>
      <c r="AM219" s="141"/>
      <c r="BC219" s="142"/>
    </row>
    <row r="220" ht="14.25" customHeight="1">
      <c r="R220" s="143"/>
      <c r="AF220" s="141"/>
      <c r="AM220" s="141"/>
      <c r="BC220" s="142"/>
    </row>
    <row r="221" ht="14.25" customHeight="1">
      <c r="R221" s="143"/>
      <c r="AF221" s="141"/>
      <c r="AM221" s="141"/>
      <c r="BC221" s="142"/>
    </row>
    <row r="222" ht="14.25" customHeight="1">
      <c r="R222" s="143"/>
      <c r="AF222" s="141"/>
      <c r="AM222" s="141"/>
      <c r="BC222" s="142"/>
    </row>
    <row r="223" ht="14.25" customHeight="1">
      <c r="R223" s="143"/>
      <c r="AF223" s="141"/>
      <c r="AM223" s="141"/>
      <c r="BC223" s="142"/>
    </row>
    <row r="224" ht="14.25" customHeight="1">
      <c r="R224" s="143"/>
      <c r="AF224" s="141"/>
      <c r="AM224" s="141"/>
      <c r="BC224" s="142"/>
    </row>
    <row r="225" ht="14.25" customHeight="1">
      <c r="R225" s="143"/>
      <c r="AF225" s="141"/>
      <c r="AM225" s="141"/>
      <c r="BC225" s="142"/>
    </row>
    <row r="226" ht="14.25" customHeight="1">
      <c r="R226" s="143"/>
      <c r="AF226" s="141"/>
      <c r="AM226" s="141"/>
      <c r="BC226" s="142"/>
    </row>
    <row r="227" ht="14.25" customHeight="1">
      <c r="R227" s="143"/>
      <c r="AF227" s="141"/>
      <c r="AM227" s="141"/>
      <c r="BC227" s="142"/>
    </row>
    <row r="228" ht="14.25" customHeight="1">
      <c r="R228" s="143"/>
      <c r="AF228" s="141"/>
      <c r="AM228" s="141"/>
      <c r="BC228" s="142"/>
    </row>
    <row r="229" ht="14.25" customHeight="1">
      <c r="R229" s="143"/>
      <c r="AF229" s="141"/>
      <c r="AM229" s="141"/>
      <c r="BC229" s="142"/>
    </row>
    <row r="230" ht="14.25" customHeight="1">
      <c r="R230" s="143"/>
      <c r="AF230" s="141"/>
      <c r="AM230" s="141"/>
      <c r="BC230" s="142"/>
    </row>
    <row r="231" ht="14.25" customHeight="1">
      <c r="R231" s="143"/>
      <c r="AF231" s="141"/>
      <c r="AM231" s="141"/>
      <c r="BC231" s="142"/>
    </row>
    <row r="232" ht="14.25" customHeight="1">
      <c r="R232" s="143"/>
      <c r="AF232" s="141"/>
      <c r="AM232" s="141"/>
      <c r="BC232" s="142"/>
    </row>
    <row r="233" ht="14.25" customHeight="1">
      <c r="R233" s="143"/>
      <c r="AF233" s="141"/>
      <c r="AM233" s="141"/>
      <c r="BC233" s="142"/>
    </row>
    <row r="234" ht="14.25" customHeight="1">
      <c r="R234" s="143"/>
      <c r="AF234" s="141"/>
      <c r="AM234" s="141"/>
      <c r="BC234" s="142"/>
    </row>
    <row r="235" ht="14.25" customHeight="1">
      <c r="R235" s="143"/>
      <c r="AF235" s="141"/>
      <c r="AM235" s="141"/>
      <c r="BC235" s="142"/>
    </row>
    <row r="236" ht="14.25" customHeight="1">
      <c r="R236" s="143"/>
      <c r="AF236" s="141"/>
      <c r="AM236" s="141"/>
      <c r="BC236" s="142"/>
    </row>
    <row r="237" ht="14.25" customHeight="1">
      <c r="R237" s="143"/>
      <c r="AF237" s="141"/>
      <c r="AM237" s="141"/>
      <c r="BC237" s="142"/>
    </row>
    <row r="238" ht="14.25" customHeight="1">
      <c r="R238" s="143"/>
      <c r="AF238" s="141"/>
      <c r="AM238" s="141"/>
      <c r="BC238" s="142"/>
    </row>
    <row r="239" ht="14.25" customHeight="1">
      <c r="R239" s="143"/>
      <c r="AF239" s="141"/>
      <c r="AM239" s="141"/>
      <c r="BC239" s="142"/>
    </row>
    <row r="240" ht="14.25" customHeight="1">
      <c r="R240" s="143"/>
      <c r="AF240" s="141"/>
      <c r="AM240" s="141"/>
      <c r="BC240" s="142"/>
    </row>
    <row r="241" ht="14.25" customHeight="1">
      <c r="R241" s="143"/>
      <c r="AF241" s="141"/>
      <c r="AM241" s="141"/>
      <c r="BC241" s="142"/>
    </row>
    <row r="242" ht="14.25" customHeight="1">
      <c r="R242" s="143"/>
      <c r="AF242" s="141"/>
      <c r="AM242" s="141"/>
      <c r="BC242" s="142"/>
    </row>
    <row r="243" ht="14.25" customHeight="1">
      <c r="R243" s="143"/>
      <c r="AF243" s="141"/>
      <c r="AM243" s="141"/>
      <c r="BC243" s="142"/>
    </row>
    <row r="244" ht="14.25" customHeight="1">
      <c r="R244" s="143"/>
      <c r="AF244" s="141"/>
      <c r="AM244" s="141"/>
      <c r="BC244" s="142"/>
    </row>
    <row r="245" ht="14.25" customHeight="1">
      <c r="R245" s="143"/>
      <c r="AF245" s="141"/>
      <c r="AM245" s="141"/>
      <c r="BC245" s="142"/>
    </row>
    <row r="246" ht="14.25" customHeight="1">
      <c r="R246" s="143"/>
      <c r="AF246" s="141"/>
      <c r="AM246" s="141"/>
      <c r="BC246" s="142"/>
    </row>
    <row r="247" ht="14.25" customHeight="1">
      <c r="R247" s="143"/>
      <c r="AF247" s="141"/>
      <c r="AM247" s="141"/>
      <c r="BC247" s="142"/>
    </row>
    <row r="248" ht="14.25" customHeight="1">
      <c r="R248" s="143"/>
      <c r="AF248" s="141"/>
      <c r="AM248" s="141"/>
      <c r="BC248" s="142"/>
    </row>
    <row r="249" ht="14.25" customHeight="1">
      <c r="R249" s="143"/>
      <c r="AF249" s="141"/>
      <c r="AM249" s="141"/>
      <c r="BC249" s="142"/>
    </row>
    <row r="250" ht="14.25" customHeight="1">
      <c r="R250" s="143"/>
      <c r="AF250" s="141"/>
      <c r="AM250" s="141"/>
      <c r="BC250" s="142"/>
    </row>
    <row r="251" ht="14.25" customHeight="1">
      <c r="R251" s="143"/>
      <c r="AF251" s="141"/>
      <c r="AM251" s="141"/>
      <c r="BC251" s="142"/>
    </row>
    <row r="252" ht="14.25" customHeight="1">
      <c r="R252" s="143"/>
      <c r="AF252" s="141"/>
      <c r="AM252" s="141"/>
      <c r="BC252" s="142"/>
    </row>
    <row r="253" ht="14.25" customHeight="1">
      <c r="R253" s="143"/>
      <c r="AF253" s="141"/>
      <c r="AM253" s="141"/>
      <c r="BC253" s="142"/>
    </row>
    <row r="254" ht="14.25" customHeight="1">
      <c r="R254" s="143"/>
      <c r="AF254" s="141"/>
      <c r="AM254" s="141"/>
      <c r="BC254" s="142"/>
    </row>
    <row r="255" ht="14.25" customHeight="1">
      <c r="R255" s="143"/>
      <c r="AF255" s="141"/>
      <c r="AM255" s="141"/>
      <c r="BC255" s="142"/>
    </row>
    <row r="256" ht="14.25" customHeight="1">
      <c r="R256" s="143"/>
      <c r="AF256" s="141"/>
      <c r="AM256" s="141"/>
      <c r="BC256" s="142"/>
    </row>
    <row r="257" ht="14.25" customHeight="1">
      <c r="R257" s="143"/>
      <c r="AF257" s="141"/>
      <c r="AM257" s="141"/>
      <c r="BC257" s="142"/>
    </row>
    <row r="258" ht="14.25" customHeight="1">
      <c r="R258" s="143"/>
      <c r="AF258" s="141"/>
      <c r="AM258" s="141"/>
      <c r="BC258" s="142"/>
    </row>
    <row r="259" ht="14.25" customHeight="1">
      <c r="R259" s="143"/>
      <c r="AF259" s="141"/>
      <c r="AM259" s="141"/>
      <c r="BC259" s="142"/>
    </row>
    <row r="260" ht="14.25" customHeight="1">
      <c r="R260" s="143"/>
      <c r="AF260" s="141"/>
      <c r="AM260" s="141"/>
      <c r="BC260" s="142"/>
    </row>
    <row r="261" ht="14.25" customHeight="1">
      <c r="R261" s="143"/>
      <c r="AF261" s="141"/>
      <c r="AM261" s="141"/>
      <c r="BC261" s="142"/>
    </row>
    <row r="262" ht="14.25" customHeight="1">
      <c r="R262" s="143"/>
      <c r="AF262" s="141"/>
      <c r="AM262" s="141"/>
      <c r="BC262" s="142"/>
    </row>
    <row r="263" ht="14.25" customHeight="1">
      <c r="R263" s="143"/>
      <c r="AF263" s="141"/>
      <c r="AM263" s="141"/>
      <c r="BC263" s="142"/>
    </row>
    <row r="264" ht="14.25" customHeight="1">
      <c r="R264" s="143"/>
      <c r="AF264" s="141"/>
      <c r="AM264" s="141"/>
      <c r="BC264" s="142"/>
    </row>
    <row r="265" ht="14.25" customHeight="1">
      <c r="R265" s="143"/>
      <c r="AF265" s="141"/>
      <c r="AM265" s="141"/>
      <c r="BC265" s="142"/>
    </row>
    <row r="266" ht="14.25" customHeight="1">
      <c r="R266" s="143"/>
      <c r="AF266" s="141"/>
      <c r="AM266" s="141"/>
      <c r="BC266" s="142"/>
    </row>
    <row r="267" ht="14.25" customHeight="1">
      <c r="R267" s="143"/>
      <c r="AF267" s="141"/>
      <c r="AM267" s="141"/>
      <c r="BC267" s="142"/>
    </row>
    <row r="268" ht="14.25" customHeight="1">
      <c r="R268" s="143"/>
      <c r="AF268" s="141"/>
      <c r="AM268" s="141"/>
      <c r="BC268" s="142"/>
    </row>
    <row r="269" ht="14.25" customHeight="1">
      <c r="R269" s="143"/>
      <c r="AF269" s="141"/>
      <c r="AM269" s="141"/>
      <c r="BC269" s="142"/>
    </row>
    <row r="270" ht="14.25" customHeight="1">
      <c r="R270" s="143"/>
      <c r="AF270" s="141"/>
      <c r="AM270" s="141"/>
      <c r="BC270" s="142"/>
    </row>
    <row r="271" ht="14.25" customHeight="1">
      <c r="R271" s="143"/>
      <c r="AF271" s="141"/>
      <c r="AM271" s="141"/>
      <c r="BC271" s="142"/>
    </row>
    <row r="272" ht="14.25" customHeight="1">
      <c r="R272" s="143"/>
      <c r="AF272" s="141"/>
      <c r="AM272" s="141"/>
      <c r="BC272" s="142"/>
    </row>
    <row r="273" ht="14.25" customHeight="1">
      <c r="R273" s="143"/>
      <c r="AF273" s="141"/>
      <c r="AM273" s="141"/>
      <c r="BC273" s="142"/>
    </row>
    <row r="274" ht="14.25" customHeight="1">
      <c r="R274" s="143"/>
      <c r="AF274" s="141"/>
      <c r="AM274" s="141"/>
      <c r="BC274" s="142"/>
    </row>
    <row r="275" ht="14.25" customHeight="1">
      <c r="R275" s="143"/>
      <c r="AF275" s="141"/>
      <c r="AM275" s="141"/>
      <c r="BC275" s="142"/>
    </row>
    <row r="276" ht="14.25" customHeight="1">
      <c r="R276" s="143"/>
      <c r="AF276" s="141"/>
      <c r="AM276" s="141"/>
      <c r="BC276" s="142"/>
    </row>
    <row r="277" ht="14.25" customHeight="1">
      <c r="R277" s="143"/>
      <c r="AF277" s="141"/>
      <c r="AM277" s="141"/>
      <c r="BC277" s="142"/>
    </row>
    <row r="278" ht="14.25" customHeight="1">
      <c r="R278" s="143"/>
      <c r="AF278" s="141"/>
      <c r="AM278" s="141"/>
      <c r="BC278" s="142"/>
    </row>
    <row r="279" ht="14.25" customHeight="1">
      <c r="R279" s="143"/>
      <c r="AF279" s="141"/>
      <c r="AM279" s="141"/>
      <c r="BC279" s="142"/>
    </row>
    <row r="280" ht="14.25" customHeight="1">
      <c r="R280" s="143"/>
      <c r="AF280" s="141"/>
      <c r="AM280" s="141"/>
      <c r="BC280" s="142"/>
    </row>
    <row r="281" ht="14.25" customHeight="1">
      <c r="R281" s="143"/>
      <c r="AF281" s="141"/>
      <c r="AM281" s="141"/>
      <c r="BC281" s="142"/>
    </row>
    <row r="282" ht="14.25" customHeight="1">
      <c r="R282" s="143"/>
      <c r="AF282" s="141"/>
      <c r="AM282" s="141"/>
      <c r="BC282" s="142"/>
    </row>
    <row r="283" ht="14.25" customHeight="1">
      <c r="R283" s="143"/>
      <c r="AF283" s="141"/>
      <c r="AM283" s="141"/>
      <c r="BC283" s="142"/>
    </row>
    <row r="284" ht="14.25" customHeight="1">
      <c r="R284" s="143"/>
      <c r="AF284" s="141"/>
      <c r="AM284" s="141"/>
      <c r="BC284" s="142"/>
    </row>
    <row r="285" ht="14.25" customHeight="1">
      <c r="R285" s="143"/>
      <c r="AF285" s="141"/>
      <c r="AM285" s="141"/>
      <c r="BC285" s="142"/>
    </row>
    <row r="286" ht="14.25" customHeight="1">
      <c r="R286" s="143"/>
      <c r="AF286" s="141"/>
      <c r="AM286" s="141"/>
      <c r="BC286" s="142"/>
    </row>
    <row r="287" ht="14.25" customHeight="1">
      <c r="R287" s="143"/>
      <c r="AF287" s="141"/>
      <c r="AM287" s="141"/>
      <c r="BC287" s="142"/>
    </row>
    <row r="288" ht="14.25" customHeight="1">
      <c r="R288" s="143"/>
      <c r="AF288" s="141"/>
      <c r="AM288" s="141"/>
      <c r="BC288" s="142"/>
    </row>
    <row r="289" ht="14.25" customHeight="1">
      <c r="R289" s="143"/>
      <c r="AF289" s="141"/>
      <c r="AM289" s="141"/>
      <c r="BC289" s="142"/>
    </row>
    <row r="290" ht="14.25" customHeight="1">
      <c r="R290" s="143"/>
      <c r="AF290" s="141"/>
      <c r="AM290" s="141"/>
      <c r="BC290" s="142"/>
    </row>
    <row r="291" ht="14.25" customHeight="1">
      <c r="R291" s="143"/>
      <c r="AF291" s="141"/>
      <c r="AM291" s="141"/>
      <c r="BC291" s="142"/>
    </row>
    <row r="292" ht="14.25" customHeight="1">
      <c r="R292" s="143"/>
      <c r="AF292" s="141"/>
      <c r="AM292" s="141"/>
      <c r="BC292" s="142"/>
    </row>
    <row r="293" ht="14.25" customHeight="1">
      <c r="R293" s="143"/>
      <c r="AF293" s="141"/>
      <c r="AM293" s="141"/>
      <c r="BC293" s="142"/>
    </row>
    <row r="294" ht="14.25" customHeight="1">
      <c r="R294" s="143"/>
      <c r="AF294" s="141"/>
      <c r="AM294" s="141"/>
      <c r="BC294" s="142"/>
    </row>
    <row r="295" ht="14.25" customHeight="1">
      <c r="R295" s="143"/>
      <c r="AF295" s="141"/>
      <c r="AM295" s="141"/>
      <c r="BC295" s="142"/>
    </row>
    <row r="296" ht="14.25" customHeight="1">
      <c r="R296" s="143"/>
      <c r="AF296" s="141"/>
      <c r="AM296" s="141"/>
      <c r="BC296" s="142"/>
    </row>
    <row r="297" ht="14.25" customHeight="1">
      <c r="R297" s="143"/>
      <c r="AF297" s="141"/>
      <c r="AM297" s="141"/>
      <c r="BC297" s="142"/>
    </row>
    <row r="298" ht="14.25" customHeight="1">
      <c r="R298" s="143"/>
      <c r="AF298" s="141"/>
      <c r="AM298" s="141"/>
      <c r="BC298" s="142"/>
    </row>
    <row r="299" ht="14.25" customHeight="1">
      <c r="R299" s="143"/>
      <c r="AF299" s="141"/>
      <c r="AM299" s="141"/>
      <c r="BC299" s="142"/>
    </row>
    <row r="300" ht="14.25" customHeight="1">
      <c r="R300" s="143"/>
      <c r="AF300" s="141"/>
      <c r="AM300" s="141"/>
      <c r="BC300" s="142"/>
    </row>
    <row r="301" ht="14.25" customHeight="1">
      <c r="R301" s="143"/>
      <c r="AF301" s="141"/>
      <c r="AM301" s="141"/>
      <c r="BC301" s="142"/>
    </row>
    <row r="302" ht="14.25" customHeight="1">
      <c r="R302" s="143"/>
      <c r="AF302" s="141"/>
      <c r="AM302" s="141"/>
      <c r="BC302" s="142"/>
    </row>
    <row r="303" ht="14.25" customHeight="1">
      <c r="R303" s="143"/>
      <c r="AF303" s="141"/>
      <c r="AM303" s="141"/>
      <c r="BC303" s="142"/>
    </row>
    <row r="304" ht="14.25" customHeight="1">
      <c r="R304" s="143"/>
      <c r="AF304" s="141"/>
      <c r="AM304" s="141"/>
      <c r="BC304" s="142"/>
    </row>
    <row r="305" ht="14.25" customHeight="1">
      <c r="R305" s="143"/>
      <c r="AF305" s="141"/>
      <c r="AM305" s="141"/>
      <c r="BC305" s="142"/>
    </row>
    <row r="306" ht="14.25" customHeight="1">
      <c r="R306" s="143"/>
      <c r="AF306" s="141"/>
      <c r="AM306" s="141"/>
      <c r="BC306" s="142"/>
    </row>
    <row r="307" ht="14.25" customHeight="1">
      <c r="R307" s="143"/>
      <c r="AF307" s="141"/>
      <c r="AM307" s="141"/>
      <c r="BC307" s="142"/>
    </row>
    <row r="308" ht="14.25" customHeight="1">
      <c r="R308" s="143"/>
      <c r="AF308" s="141"/>
      <c r="AM308" s="141"/>
      <c r="BC308" s="142"/>
    </row>
    <row r="309" ht="14.25" customHeight="1">
      <c r="R309" s="143"/>
      <c r="AF309" s="141"/>
      <c r="AM309" s="141"/>
      <c r="BC309" s="142"/>
    </row>
    <row r="310" ht="14.25" customHeight="1">
      <c r="R310" s="143"/>
      <c r="AF310" s="141"/>
      <c r="AM310" s="141"/>
      <c r="BC310" s="142"/>
    </row>
    <row r="311" ht="14.25" customHeight="1">
      <c r="R311" s="143"/>
      <c r="AF311" s="141"/>
      <c r="AM311" s="141"/>
      <c r="BC311" s="142"/>
    </row>
    <row r="312" ht="14.25" customHeight="1">
      <c r="R312" s="143"/>
      <c r="AF312" s="141"/>
      <c r="AM312" s="141"/>
      <c r="BC312" s="142"/>
    </row>
    <row r="313" ht="14.25" customHeight="1">
      <c r="R313" s="143"/>
      <c r="AF313" s="141"/>
      <c r="AM313" s="141"/>
      <c r="BC313" s="142"/>
    </row>
    <row r="314" ht="14.25" customHeight="1">
      <c r="R314" s="143"/>
      <c r="AF314" s="141"/>
      <c r="AM314" s="141"/>
      <c r="BC314" s="142"/>
    </row>
    <row r="315" ht="14.25" customHeight="1">
      <c r="R315" s="143"/>
      <c r="AF315" s="141"/>
      <c r="AM315" s="141"/>
      <c r="BC315" s="142"/>
    </row>
    <row r="316" ht="14.25" customHeight="1">
      <c r="R316" s="143"/>
      <c r="AF316" s="141"/>
      <c r="AM316" s="141"/>
      <c r="BC316" s="142"/>
    </row>
    <row r="317" ht="14.25" customHeight="1">
      <c r="R317" s="143"/>
      <c r="AF317" s="141"/>
      <c r="AM317" s="141"/>
      <c r="BC317" s="142"/>
    </row>
    <row r="318" ht="14.25" customHeight="1">
      <c r="R318" s="143"/>
      <c r="AF318" s="141"/>
      <c r="AM318" s="141"/>
      <c r="BC318" s="142"/>
    </row>
    <row r="319" ht="14.25" customHeight="1">
      <c r="R319" s="143"/>
      <c r="AF319" s="141"/>
      <c r="AM319" s="141"/>
      <c r="BC319" s="142"/>
    </row>
    <row r="320" ht="14.25" customHeight="1">
      <c r="R320" s="143"/>
      <c r="AF320" s="141"/>
      <c r="AM320" s="141"/>
      <c r="BC320" s="142"/>
    </row>
    <row r="321" ht="14.25" customHeight="1">
      <c r="R321" s="143"/>
      <c r="AF321" s="141"/>
      <c r="AM321" s="141"/>
      <c r="BC321" s="142"/>
    </row>
    <row r="322" ht="14.25" customHeight="1">
      <c r="R322" s="143"/>
      <c r="AF322" s="141"/>
      <c r="AM322" s="141"/>
      <c r="BC322" s="142"/>
    </row>
    <row r="323" ht="14.25" customHeight="1">
      <c r="R323" s="143"/>
      <c r="AF323" s="141"/>
      <c r="AM323" s="141"/>
      <c r="BC323" s="142"/>
    </row>
    <row r="324" ht="14.25" customHeight="1">
      <c r="R324" s="143"/>
      <c r="AF324" s="141"/>
      <c r="AM324" s="141"/>
      <c r="BC324" s="142"/>
    </row>
    <row r="325" ht="14.25" customHeight="1">
      <c r="R325" s="143"/>
      <c r="AF325" s="141"/>
      <c r="AM325" s="141"/>
      <c r="BC325" s="142"/>
    </row>
    <row r="326" ht="14.25" customHeight="1">
      <c r="R326" s="143"/>
      <c r="AF326" s="141"/>
      <c r="AM326" s="141"/>
      <c r="BC326" s="142"/>
    </row>
    <row r="327" ht="14.25" customHeight="1">
      <c r="R327" s="143"/>
      <c r="AF327" s="141"/>
      <c r="AM327" s="141"/>
      <c r="BC327" s="142"/>
    </row>
    <row r="328" ht="14.25" customHeight="1">
      <c r="R328" s="143"/>
      <c r="AF328" s="141"/>
      <c r="AM328" s="141"/>
      <c r="BC328" s="142"/>
    </row>
    <row r="329" ht="14.25" customHeight="1">
      <c r="R329" s="143"/>
      <c r="AF329" s="141"/>
      <c r="AM329" s="141"/>
      <c r="BC329" s="142"/>
    </row>
    <row r="330" ht="14.25" customHeight="1">
      <c r="R330" s="143"/>
      <c r="AF330" s="141"/>
      <c r="AM330" s="141"/>
      <c r="BC330" s="142"/>
    </row>
    <row r="331" ht="14.25" customHeight="1">
      <c r="R331" s="143"/>
      <c r="AF331" s="141"/>
      <c r="AM331" s="141"/>
      <c r="BC331" s="142"/>
    </row>
    <row r="332" ht="14.25" customHeight="1">
      <c r="R332" s="143"/>
      <c r="AF332" s="141"/>
      <c r="AM332" s="141"/>
      <c r="BC332" s="142"/>
    </row>
    <row r="333" ht="14.25" customHeight="1">
      <c r="R333" s="143"/>
      <c r="AF333" s="141"/>
      <c r="AM333" s="141"/>
      <c r="BC333" s="142"/>
    </row>
    <row r="334" ht="14.25" customHeight="1">
      <c r="R334" s="143"/>
      <c r="AF334" s="141"/>
      <c r="AM334" s="141"/>
      <c r="BC334" s="142"/>
    </row>
    <row r="335" ht="14.25" customHeight="1">
      <c r="R335" s="143"/>
      <c r="AF335" s="141"/>
      <c r="AM335" s="141"/>
      <c r="BC335" s="142"/>
    </row>
    <row r="336" ht="14.25" customHeight="1">
      <c r="R336" s="143"/>
      <c r="AF336" s="141"/>
      <c r="AM336" s="141"/>
      <c r="BC336" s="142"/>
    </row>
    <row r="337" ht="14.25" customHeight="1">
      <c r="R337" s="143"/>
      <c r="AF337" s="141"/>
      <c r="AM337" s="141"/>
      <c r="BC337" s="142"/>
    </row>
    <row r="338" ht="14.25" customHeight="1">
      <c r="R338" s="143"/>
      <c r="AF338" s="141"/>
      <c r="AM338" s="141"/>
      <c r="BC338" s="142"/>
    </row>
    <row r="339" ht="14.25" customHeight="1">
      <c r="R339" s="143"/>
      <c r="AF339" s="141"/>
      <c r="AM339" s="141"/>
      <c r="BC339" s="142"/>
    </row>
    <row r="340" ht="14.25" customHeight="1">
      <c r="R340" s="143"/>
      <c r="AF340" s="141"/>
      <c r="AM340" s="141"/>
      <c r="BC340" s="142"/>
    </row>
    <row r="341" ht="14.25" customHeight="1">
      <c r="R341" s="143"/>
      <c r="AF341" s="141"/>
      <c r="AM341" s="141"/>
      <c r="BC341" s="142"/>
    </row>
    <row r="342" ht="14.25" customHeight="1">
      <c r="R342" s="143"/>
      <c r="AF342" s="141"/>
      <c r="AM342" s="141"/>
      <c r="BC342" s="142"/>
    </row>
    <row r="343" ht="14.25" customHeight="1">
      <c r="R343" s="143"/>
      <c r="AF343" s="141"/>
      <c r="AM343" s="141"/>
      <c r="BC343" s="142"/>
    </row>
    <row r="344" ht="14.25" customHeight="1">
      <c r="R344" s="143"/>
      <c r="AF344" s="141"/>
      <c r="AM344" s="141"/>
      <c r="BC344" s="142"/>
    </row>
    <row r="345" ht="14.25" customHeight="1">
      <c r="R345" s="143"/>
      <c r="AF345" s="141"/>
      <c r="AM345" s="141"/>
      <c r="BC345" s="142"/>
    </row>
    <row r="346" ht="14.25" customHeight="1">
      <c r="R346" s="143"/>
      <c r="AF346" s="141"/>
      <c r="AM346" s="141"/>
      <c r="BC346" s="142"/>
    </row>
    <row r="347" ht="14.25" customHeight="1">
      <c r="R347" s="143"/>
      <c r="AF347" s="141"/>
      <c r="AM347" s="141"/>
      <c r="BC347" s="142"/>
    </row>
    <row r="348" ht="14.25" customHeight="1">
      <c r="R348" s="143"/>
      <c r="AF348" s="141"/>
      <c r="AM348" s="141"/>
      <c r="BC348" s="142"/>
    </row>
    <row r="349" ht="14.25" customHeight="1">
      <c r="R349" s="143"/>
      <c r="AF349" s="141"/>
      <c r="AM349" s="141"/>
      <c r="BC349" s="142"/>
    </row>
    <row r="350" ht="14.25" customHeight="1">
      <c r="R350" s="143"/>
      <c r="AF350" s="141"/>
      <c r="AM350" s="141"/>
      <c r="BC350" s="142"/>
    </row>
    <row r="351" ht="14.25" customHeight="1">
      <c r="R351" s="143"/>
      <c r="AF351" s="141"/>
      <c r="AM351" s="141"/>
      <c r="BC351" s="142"/>
    </row>
    <row r="352" ht="14.25" customHeight="1">
      <c r="R352" s="143"/>
      <c r="AF352" s="141"/>
      <c r="AM352" s="141"/>
      <c r="BC352" s="142"/>
    </row>
    <row r="353" ht="14.25" customHeight="1">
      <c r="R353" s="143"/>
      <c r="AF353" s="141"/>
      <c r="AM353" s="141"/>
      <c r="BC353" s="142"/>
    </row>
    <row r="354" ht="14.25" customHeight="1">
      <c r="R354" s="143"/>
      <c r="AF354" s="141"/>
      <c r="AM354" s="141"/>
      <c r="BC354" s="142"/>
    </row>
    <row r="355" ht="14.25" customHeight="1">
      <c r="R355" s="143"/>
      <c r="AF355" s="141"/>
      <c r="AM355" s="141"/>
      <c r="BC355" s="142"/>
    </row>
    <row r="356" ht="14.25" customHeight="1">
      <c r="R356" s="143"/>
      <c r="AF356" s="141"/>
      <c r="AM356" s="141"/>
      <c r="BC356" s="142"/>
    </row>
    <row r="357" ht="14.25" customHeight="1">
      <c r="R357" s="143"/>
      <c r="AF357" s="141"/>
      <c r="AM357" s="141"/>
      <c r="BC357" s="142"/>
    </row>
    <row r="358" ht="14.25" customHeight="1">
      <c r="R358" s="143"/>
      <c r="AF358" s="141"/>
      <c r="AM358" s="141"/>
      <c r="BC358" s="142"/>
    </row>
    <row r="359" ht="14.25" customHeight="1">
      <c r="R359" s="143"/>
      <c r="AF359" s="141"/>
      <c r="AM359" s="141"/>
      <c r="BC359" s="142"/>
    </row>
    <row r="360" ht="14.25" customHeight="1">
      <c r="R360" s="143"/>
      <c r="AF360" s="141"/>
      <c r="AM360" s="141"/>
      <c r="BC360" s="142"/>
    </row>
    <row r="361" ht="14.25" customHeight="1">
      <c r="R361" s="143"/>
      <c r="AF361" s="141"/>
      <c r="AM361" s="141"/>
      <c r="BC361" s="142"/>
    </row>
    <row r="362" ht="14.25" customHeight="1">
      <c r="R362" s="143"/>
      <c r="AF362" s="141"/>
      <c r="AM362" s="141"/>
      <c r="BC362" s="142"/>
    </row>
    <row r="363" ht="14.25" customHeight="1">
      <c r="R363" s="143"/>
      <c r="AF363" s="141"/>
      <c r="AM363" s="141"/>
      <c r="BC363" s="142"/>
    </row>
    <row r="364" ht="14.25" customHeight="1">
      <c r="R364" s="143"/>
      <c r="AF364" s="141"/>
      <c r="AM364" s="141"/>
      <c r="BC364" s="142"/>
    </row>
    <row r="365" ht="14.25" customHeight="1">
      <c r="R365" s="143"/>
      <c r="AF365" s="141"/>
      <c r="AM365" s="141"/>
      <c r="BC365" s="142"/>
    </row>
    <row r="366" ht="14.25" customHeight="1">
      <c r="R366" s="143"/>
      <c r="AF366" s="141"/>
      <c r="AM366" s="141"/>
      <c r="BC366" s="142"/>
    </row>
    <row r="367" ht="14.25" customHeight="1">
      <c r="R367" s="143"/>
      <c r="AF367" s="141"/>
      <c r="AM367" s="141"/>
      <c r="BC367" s="142"/>
    </row>
    <row r="368" ht="14.25" customHeight="1">
      <c r="R368" s="143"/>
      <c r="AF368" s="141"/>
      <c r="AM368" s="141"/>
      <c r="BC368" s="142"/>
    </row>
    <row r="369" ht="14.25" customHeight="1">
      <c r="R369" s="143"/>
      <c r="AF369" s="141"/>
      <c r="AM369" s="141"/>
      <c r="BC369" s="142"/>
    </row>
    <row r="370" ht="14.25" customHeight="1">
      <c r="R370" s="143"/>
      <c r="AF370" s="141"/>
      <c r="AM370" s="141"/>
      <c r="BC370" s="142"/>
    </row>
    <row r="371" ht="14.25" customHeight="1">
      <c r="R371" s="143"/>
      <c r="AF371" s="141"/>
      <c r="AM371" s="141"/>
      <c r="BC371" s="142"/>
    </row>
    <row r="372" ht="14.25" customHeight="1">
      <c r="R372" s="143"/>
      <c r="AF372" s="141"/>
      <c r="AM372" s="141"/>
      <c r="BC372" s="142"/>
    </row>
    <row r="373" ht="14.25" customHeight="1">
      <c r="R373" s="143"/>
      <c r="AF373" s="141"/>
      <c r="AM373" s="141"/>
      <c r="BC373" s="142"/>
    </row>
    <row r="374" ht="14.25" customHeight="1">
      <c r="R374" s="143"/>
      <c r="AF374" s="141"/>
      <c r="AM374" s="141"/>
      <c r="BC374" s="142"/>
    </row>
    <row r="375" ht="14.25" customHeight="1">
      <c r="R375" s="143"/>
      <c r="AF375" s="141"/>
      <c r="AM375" s="141"/>
      <c r="BC375" s="142"/>
    </row>
    <row r="376" ht="14.25" customHeight="1">
      <c r="R376" s="143"/>
      <c r="AF376" s="141"/>
      <c r="AM376" s="141"/>
      <c r="BC376" s="142"/>
    </row>
    <row r="377" ht="14.25" customHeight="1">
      <c r="R377" s="143"/>
      <c r="AF377" s="141"/>
      <c r="AM377" s="141"/>
      <c r="BC377" s="142"/>
    </row>
    <row r="378" ht="14.25" customHeight="1">
      <c r="R378" s="143"/>
      <c r="AF378" s="141"/>
      <c r="AM378" s="141"/>
      <c r="BC378" s="142"/>
    </row>
    <row r="379" ht="14.25" customHeight="1">
      <c r="R379" s="143"/>
      <c r="AF379" s="141"/>
      <c r="AM379" s="141"/>
      <c r="BC379" s="142"/>
    </row>
    <row r="380" ht="14.25" customHeight="1">
      <c r="R380" s="143"/>
      <c r="AF380" s="141"/>
      <c r="AM380" s="141"/>
      <c r="BC380" s="142"/>
    </row>
    <row r="381" ht="14.25" customHeight="1">
      <c r="R381" s="143"/>
      <c r="AF381" s="141"/>
      <c r="AM381" s="141"/>
      <c r="BC381" s="142"/>
    </row>
    <row r="382" ht="14.25" customHeight="1">
      <c r="R382" s="143"/>
      <c r="AF382" s="141"/>
      <c r="AM382" s="141"/>
      <c r="BC382" s="142"/>
    </row>
    <row r="383" ht="14.25" customHeight="1">
      <c r="R383" s="143"/>
      <c r="AF383" s="141"/>
      <c r="AM383" s="141"/>
      <c r="BC383" s="142"/>
    </row>
    <row r="384" ht="14.25" customHeight="1">
      <c r="R384" s="143"/>
      <c r="AF384" s="141"/>
      <c r="AM384" s="141"/>
      <c r="BC384" s="142"/>
    </row>
    <row r="385" ht="14.25" customHeight="1">
      <c r="R385" s="143"/>
      <c r="AF385" s="141"/>
      <c r="AM385" s="141"/>
      <c r="BC385" s="142"/>
    </row>
    <row r="386" ht="14.25" customHeight="1">
      <c r="R386" s="143"/>
      <c r="AF386" s="141"/>
      <c r="AM386" s="141"/>
      <c r="BC386" s="142"/>
    </row>
    <row r="387" ht="14.25" customHeight="1">
      <c r="R387" s="143"/>
      <c r="AF387" s="141"/>
      <c r="AM387" s="141"/>
      <c r="BC387" s="142"/>
    </row>
    <row r="388" ht="14.25" customHeight="1">
      <c r="R388" s="143"/>
      <c r="AF388" s="141"/>
      <c r="AM388" s="141"/>
      <c r="BC388" s="142"/>
    </row>
    <row r="389" ht="14.25" customHeight="1">
      <c r="R389" s="143"/>
      <c r="AF389" s="141"/>
      <c r="AM389" s="141"/>
      <c r="BC389" s="142"/>
    </row>
    <row r="390" ht="14.25" customHeight="1">
      <c r="R390" s="143"/>
      <c r="AF390" s="141"/>
      <c r="AM390" s="141"/>
      <c r="BC390" s="142"/>
    </row>
    <row r="391" ht="14.25" customHeight="1">
      <c r="R391" s="143"/>
      <c r="AF391" s="141"/>
      <c r="AM391" s="141"/>
      <c r="BC391" s="142"/>
    </row>
    <row r="392" ht="14.25" customHeight="1">
      <c r="R392" s="143"/>
      <c r="AF392" s="141"/>
      <c r="AM392" s="141"/>
      <c r="BC392" s="142"/>
    </row>
    <row r="393" ht="14.25" customHeight="1">
      <c r="R393" s="143"/>
      <c r="AF393" s="141"/>
      <c r="AM393" s="141"/>
      <c r="BC393" s="142"/>
    </row>
    <row r="394" ht="14.25" customHeight="1">
      <c r="R394" s="143"/>
      <c r="AF394" s="141"/>
      <c r="AM394" s="141"/>
      <c r="BC394" s="142"/>
    </row>
    <row r="395" ht="14.25" customHeight="1">
      <c r="R395" s="143"/>
      <c r="AF395" s="141"/>
      <c r="AM395" s="141"/>
      <c r="BC395" s="142"/>
    </row>
    <row r="396" ht="14.25" customHeight="1">
      <c r="R396" s="143"/>
      <c r="AF396" s="141"/>
      <c r="AM396" s="141"/>
      <c r="BC396" s="142"/>
    </row>
    <row r="397" ht="14.25" customHeight="1">
      <c r="R397" s="143"/>
      <c r="AF397" s="141"/>
      <c r="AM397" s="141"/>
      <c r="BC397" s="142"/>
    </row>
    <row r="398" ht="14.25" customHeight="1">
      <c r="R398" s="143"/>
      <c r="AF398" s="141"/>
      <c r="AM398" s="141"/>
      <c r="BC398" s="142"/>
    </row>
    <row r="399" ht="14.25" customHeight="1">
      <c r="R399" s="143"/>
      <c r="AF399" s="141"/>
      <c r="AM399" s="141"/>
      <c r="BC399" s="142"/>
    </row>
    <row r="400" ht="14.25" customHeight="1">
      <c r="R400" s="143"/>
      <c r="AF400" s="141"/>
      <c r="AM400" s="141"/>
      <c r="BC400" s="142"/>
    </row>
    <row r="401" ht="14.25" customHeight="1">
      <c r="R401" s="143"/>
      <c r="AF401" s="141"/>
      <c r="AM401" s="141"/>
      <c r="BC401" s="142"/>
    </row>
    <row r="402" ht="14.25" customHeight="1">
      <c r="R402" s="143"/>
      <c r="AF402" s="141"/>
      <c r="AM402" s="141"/>
      <c r="BC402" s="142"/>
    </row>
    <row r="403" ht="14.25" customHeight="1">
      <c r="R403" s="143"/>
      <c r="AF403" s="141"/>
      <c r="AM403" s="141"/>
      <c r="BC403" s="142"/>
    </row>
    <row r="404" ht="14.25" customHeight="1">
      <c r="R404" s="143"/>
      <c r="AF404" s="141"/>
      <c r="AM404" s="141"/>
      <c r="BC404" s="142"/>
    </row>
    <row r="405" ht="14.25" customHeight="1">
      <c r="R405" s="143"/>
      <c r="AF405" s="141"/>
      <c r="AM405" s="141"/>
      <c r="BC405" s="142"/>
    </row>
    <row r="406" ht="14.25" customHeight="1">
      <c r="R406" s="143"/>
      <c r="AF406" s="141"/>
      <c r="AM406" s="141"/>
      <c r="BC406" s="142"/>
    </row>
    <row r="407" ht="14.25" customHeight="1">
      <c r="R407" s="143"/>
      <c r="AF407" s="141"/>
      <c r="AM407" s="141"/>
      <c r="BC407" s="142"/>
    </row>
    <row r="408" ht="14.25" customHeight="1">
      <c r="R408" s="143"/>
      <c r="AF408" s="141"/>
      <c r="AM408" s="141"/>
      <c r="BC408" s="142"/>
    </row>
    <row r="409" ht="14.25" customHeight="1">
      <c r="R409" s="143"/>
      <c r="AF409" s="141"/>
      <c r="AM409" s="141"/>
      <c r="BC409" s="142"/>
    </row>
    <row r="410" ht="14.25" customHeight="1">
      <c r="R410" s="143"/>
      <c r="AF410" s="141"/>
      <c r="AM410" s="141"/>
      <c r="BC410" s="142"/>
    </row>
    <row r="411" ht="14.25" customHeight="1">
      <c r="R411" s="143"/>
      <c r="AF411" s="141"/>
      <c r="AM411" s="141"/>
      <c r="BC411" s="142"/>
    </row>
    <row r="412" ht="14.25" customHeight="1">
      <c r="R412" s="143"/>
      <c r="AF412" s="141"/>
      <c r="AM412" s="141"/>
      <c r="BC412" s="142"/>
    </row>
    <row r="413" ht="14.25" customHeight="1">
      <c r="R413" s="143"/>
      <c r="AF413" s="141"/>
      <c r="AM413" s="141"/>
      <c r="BC413" s="142"/>
    </row>
    <row r="414" ht="14.25" customHeight="1">
      <c r="R414" s="143"/>
      <c r="AF414" s="141"/>
      <c r="AM414" s="141"/>
      <c r="BC414" s="142"/>
    </row>
    <row r="415" ht="14.25" customHeight="1">
      <c r="R415" s="143"/>
      <c r="AF415" s="141"/>
      <c r="AM415" s="141"/>
      <c r="BC415" s="142"/>
    </row>
    <row r="416" ht="14.25" customHeight="1">
      <c r="R416" s="143"/>
      <c r="AF416" s="141"/>
      <c r="AM416" s="141"/>
      <c r="BC416" s="142"/>
    </row>
    <row r="417" ht="14.25" customHeight="1">
      <c r="R417" s="143"/>
      <c r="AF417" s="141"/>
      <c r="AM417" s="141"/>
      <c r="BC417" s="142"/>
    </row>
    <row r="418" ht="14.25" customHeight="1">
      <c r="R418" s="143"/>
      <c r="AF418" s="141"/>
      <c r="AM418" s="141"/>
      <c r="BC418" s="142"/>
    </row>
    <row r="419" ht="14.25" customHeight="1">
      <c r="R419" s="143"/>
      <c r="AF419" s="141"/>
      <c r="AM419" s="141"/>
      <c r="BC419" s="142"/>
    </row>
    <row r="420" ht="14.25" customHeight="1">
      <c r="R420" s="143"/>
      <c r="AF420" s="141"/>
      <c r="AM420" s="141"/>
      <c r="BC420" s="142"/>
    </row>
    <row r="421" ht="14.25" customHeight="1">
      <c r="R421" s="143"/>
      <c r="AF421" s="141"/>
      <c r="AM421" s="141"/>
      <c r="BC421" s="142"/>
    </row>
    <row r="422" ht="14.25" customHeight="1">
      <c r="R422" s="143"/>
      <c r="AF422" s="141"/>
      <c r="AM422" s="141"/>
      <c r="BC422" s="142"/>
    </row>
    <row r="423" ht="14.25" customHeight="1">
      <c r="R423" s="143"/>
      <c r="AF423" s="141"/>
      <c r="AM423" s="141"/>
      <c r="BC423" s="142"/>
    </row>
    <row r="424" ht="14.25" customHeight="1">
      <c r="R424" s="143"/>
      <c r="AF424" s="141"/>
      <c r="AM424" s="141"/>
      <c r="BC424" s="142"/>
    </row>
    <row r="425" ht="14.25" customHeight="1">
      <c r="R425" s="143"/>
      <c r="AF425" s="141"/>
      <c r="AM425" s="141"/>
      <c r="BC425" s="142"/>
    </row>
    <row r="426" ht="14.25" customHeight="1">
      <c r="R426" s="143"/>
      <c r="AF426" s="141"/>
      <c r="AM426" s="141"/>
      <c r="BC426" s="142"/>
    </row>
    <row r="427" ht="14.25" customHeight="1">
      <c r="R427" s="143"/>
      <c r="AF427" s="141"/>
      <c r="AM427" s="141"/>
      <c r="BC427" s="142"/>
    </row>
    <row r="428" ht="14.25" customHeight="1">
      <c r="R428" s="143"/>
      <c r="AF428" s="141"/>
      <c r="AM428" s="141"/>
      <c r="BC428" s="142"/>
    </row>
    <row r="429" ht="14.25" customHeight="1">
      <c r="R429" s="143"/>
      <c r="AF429" s="141"/>
      <c r="AM429" s="141"/>
      <c r="BC429" s="142"/>
    </row>
    <row r="430" ht="14.25" customHeight="1">
      <c r="R430" s="143"/>
      <c r="AF430" s="141"/>
      <c r="AM430" s="141"/>
      <c r="BC430" s="142"/>
    </row>
    <row r="431" ht="14.25" customHeight="1">
      <c r="R431" s="143"/>
      <c r="AF431" s="141"/>
      <c r="AM431" s="141"/>
      <c r="BC431" s="142"/>
    </row>
    <row r="432" ht="14.25" customHeight="1">
      <c r="R432" s="143"/>
      <c r="AF432" s="141"/>
      <c r="AM432" s="141"/>
      <c r="BC432" s="142"/>
    </row>
    <row r="433" ht="14.25" customHeight="1">
      <c r="R433" s="143"/>
      <c r="AF433" s="141"/>
      <c r="AM433" s="141"/>
      <c r="BC433" s="142"/>
    </row>
    <row r="434" ht="14.25" customHeight="1">
      <c r="R434" s="143"/>
      <c r="AF434" s="141"/>
      <c r="AM434" s="141"/>
      <c r="BC434" s="142"/>
    </row>
    <row r="435" ht="14.25" customHeight="1">
      <c r="R435" s="143"/>
      <c r="AF435" s="141"/>
      <c r="AM435" s="141"/>
      <c r="BC435" s="142"/>
    </row>
    <row r="436" ht="14.25" customHeight="1">
      <c r="R436" s="143"/>
      <c r="AF436" s="141"/>
      <c r="AM436" s="141"/>
      <c r="BC436" s="142"/>
    </row>
    <row r="437" ht="14.25" customHeight="1">
      <c r="R437" s="143"/>
      <c r="AF437" s="141"/>
      <c r="AM437" s="141"/>
      <c r="BC437" s="142"/>
    </row>
    <row r="438" ht="14.25" customHeight="1">
      <c r="R438" s="143"/>
      <c r="AF438" s="141"/>
      <c r="AM438" s="141"/>
      <c r="BC438" s="142"/>
    </row>
    <row r="439" ht="14.25" customHeight="1">
      <c r="R439" s="143"/>
      <c r="AF439" s="141"/>
      <c r="AM439" s="141"/>
      <c r="BC439" s="142"/>
    </row>
    <row r="440" ht="14.25" customHeight="1">
      <c r="R440" s="143"/>
      <c r="AF440" s="141"/>
      <c r="AM440" s="141"/>
      <c r="BC440" s="142"/>
    </row>
    <row r="441" ht="14.25" customHeight="1">
      <c r="R441" s="143"/>
      <c r="AF441" s="141"/>
      <c r="AM441" s="141"/>
      <c r="BC441" s="142"/>
    </row>
    <row r="442" ht="14.25" customHeight="1">
      <c r="R442" s="143"/>
      <c r="AF442" s="141"/>
      <c r="AM442" s="141"/>
      <c r="BC442" s="142"/>
    </row>
    <row r="443" ht="14.25" customHeight="1">
      <c r="R443" s="143"/>
      <c r="AF443" s="141"/>
      <c r="AM443" s="141"/>
      <c r="BC443" s="142"/>
    </row>
    <row r="444" ht="14.25" customHeight="1">
      <c r="R444" s="143"/>
      <c r="AF444" s="141"/>
      <c r="AM444" s="141"/>
      <c r="BC444" s="142"/>
    </row>
    <row r="445" ht="14.25" customHeight="1">
      <c r="R445" s="143"/>
      <c r="AF445" s="141"/>
      <c r="AM445" s="141"/>
      <c r="BC445" s="142"/>
    </row>
    <row r="446" ht="14.25" customHeight="1">
      <c r="R446" s="143"/>
      <c r="AF446" s="141"/>
      <c r="AM446" s="141"/>
      <c r="BC446" s="142"/>
    </row>
    <row r="447" ht="14.25" customHeight="1">
      <c r="R447" s="143"/>
      <c r="AF447" s="141"/>
      <c r="AM447" s="141"/>
      <c r="BC447" s="142"/>
    </row>
    <row r="448" ht="14.25" customHeight="1">
      <c r="R448" s="143"/>
      <c r="AF448" s="141"/>
      <c r="AM448" s="141"/>
      <c r="BC448" s="142"/>
    </row>
    <row r="449" ht="14.25" customHeight="1">
      <c r="R449" s="143"/>
      <c r="AF449" s="141"/>
      <c r="AM449" s="141"/>
      <c r="BC449" s="142"/>
    </row>
    <row r="450" ht="14.25" customHeight="1">
      <c r="R450" s="143"/>
      <c r="AF450" s="141"/>
      <c r="AM450" s="141"/>
      <c r="BC450" s="142"/>
    </row>
    <row r="451" ht="14.25" customHeight="1">
      <c r="R451" s="143"/>
      <c r="AF451" s="141"/>
      <c r="AM451" s="141"/>
      <c r="BC451" s="142"/>
    </row>
    <row r="452" ht="14.25" customHeight="1">
      <c r="R452" s="143"/>
      <c r="AF452" s="141"/>
      <c r="AM452" s="141"/>
      <c r="BC452" s="142"/>
    </row>
    <row r="453" ht="14.25" customHeight="1">
      <c r="R453" s="143"/>
      <c r="AF453" s="141"/>
      <c r="AM453" s="141"/>
      <c r="BC453" s="142"/>
    </row>
    <row r="454" ht="14.25" customHeight="1">
      <c r="R454" s="143"/>
      <c r="AF454" s="141"/>
      <c r="AM454" s="141"/>
      <c r="BC454" s="142"/>
    </row>
    <row r="455" ht="14.25" customHeight="1">
      <c r="R455" s="143"/>
      <c r="AF455" s="141"/>
      <c r="AM455" s="141"/>
      <c r="BC455" s="142"/>
    </row>
    <row r="456" ht="14.25" customHeight="1">
      <c r="R456" s="143"/>
      <c r="AF456" s="141"/>
      <c r="AM456" s="141"/>
      <c r="BC456" s="142"/>
    </row>
    <row r="457" ht="14.25" customHeight="1">
      <c r="R457" s="143"/>
      <c r="AF457" s="141"/>
      <c r="AM457" s="141"/>
      <c r="BC457" s="142"/>
    </row>
    <row r="458" ht="14.25" customHeight="1">
      <c r="R458" s="143"/>
      <c r="AF458" s="141"/>
      <c r="AM458" s="141"/>
      <c r="BC458" s="142"/>
    </row>
    <row r="459" ht="14.25" customHeight="1">
      <c r="R459" s="143"/>
      <c r="AF459" s="141"/>
      <c r="AM459" s="141"/>
      <c r="BC459" s="142"/>
    </row>
    <row r="460" ht="14.25" customHeight="1">
      <c r="R460" s="143"/>
      <c r="AF460" s="141"/>
      <c r="AM460" s="141"/>
      <c r="BC460" s="142"/>
    </row>
    <row r="461" ht="14.25" customHeight="1">
      <c r="R461" s="143"/>
      <c r="AF461" s="141"/>
      <c r="AM461" s="141"/>
      <c r="BC461" s="142"/>
    </row>
    <row r="462" ht="14.25" customHeight="1">
      <c r="R462" s="143"/>
      <c r="AF462" s="141"/>
      <c r="AM462" s="141"/>
      <c r="BC462" s="142"/>
    </row>
    <row r="463" ht="14.25" customHeight="1">
      <c r="R463" s="143"/>
      <c r="AF463" s="141"/>
      <c r="AM463" s="141"/>
      <c r="BC463" s="142"/>
    </row>
    <row r="464" ht="14.25" customHeight="1">
      <c r="R464" s="143"/>
      <c r="AF464" s="141"/>
      <c r="AM464" s="141"/>
      <c r="BC464" s="142"/>
    </row>
    <row r="465" ht="14.25" customHeight="1">
      <c r="R465" s="143"/>
      <c r="AF465" s="141"/>
      <c r="AM465" s="141"/>
      <c r="BC465" s="142"/>
    </row>
    <row r="466" ht="14.25" customHeight="1">
      <c r="R466" s="143"/>
      <c r="AF466" s="141"/>
      <c r="AM466" s="141"/>
      <c r="BC466" s="142"/>
    </row>
    <row r="467" ht="14.25" customHeight="1">
      <c r="R467" s="143"/>
      <c r="AF467" s="141"/>
      <c r="AM467" s="141"/>
      <c r="BC467" s="142"/>
    </row>
    <row r="468" ht="14.25" customHeight="1">
      <c r="R468" s="143"/>
      <c r="AF468" s="141"/>
      <c r="AM468" s="141"/>
      <c r="BC468" s="142"/>
    </row>
    <row r="469" ht="14.25" customHeight="1">
      <c r="R469" s="143"/>
      <c r="AF469" s="141"/>
      <c r="AM469" s="141"/>
      <c r="BC469" s="142"/>
    </row>
    <row r="470" ht="14.25" customHeight="1">
      <c r="R470" s="143"/>
      <c r="AF470" s="141"/>
      <c r="AM470" s="141"/>
      <c r="BC470" s="142"/>
    </row>
    <row r="471" ht="14.25" customHeight="1">
      <c r="R471" s="143"/>
      <c r="AF471" s="141"/>
      <c r="AM471" s="141"/>
      <c r="BC471" s="142"/>
    </row>
    <row r="472" ht="14.25" customHeight="1">
      <c r="R472" s="143"/>
      <c r="AF472" s="141"/>
      <c r="AM472" s="141"/>
      <c r="BC472" s="142"/>
    </row>
    <row r="473" ht="14.25" customHeight="1">
      <c r="R473" s="143"/>
      <c r="AF473" s="141"/>
      <c r="AM473" s="141"/>
      <c r="BC473" s="142"/>
    </row>
    <row r="474" ht="14.25" customHeight="1">
      <c r="R474" s="143"/>
      <c r="AF474" s="141"/>
      <c r="AM474" s="141"/>
      <c r="BC474" s="142"/>
    </row>
    <row r="475" ht="14.25" customHeight="1">
      <c r="R475" s="143"/>
      <c r="AF475" s="141"/>
      <c r="AM475" s="141"/>
      <c r="BC475" s="142"/>
    </row>
    <row r="476" ht="14.25" customHeight="1">
      <c r="R476" s="143"/>
      <c r="AF476" s="141"/>
      <c r="AM476" s="141"/>
      <c r="BC476" s="142"/>
    </row>
    <row r="477" ht="14.25" customHeight="1">
      <c r="R477" s="143"/>
      <c r="AF477" s="141"/>
      <c r="AM477" s="141"/>
      <c r="BC477" s="142"/>
    </row>
    <row r="478" ht="14.25" customHeight="1">
      <c r="R478" s="143"/>
      <c r="AF478" s="141"/>
      <c r="AM478" s="141"/>
      <c r="BC478" s="142"/>
    </row>
    <row r="479" ht="14.25" customHeight="1">
      <c r="R479" s="143"/>
      <c r="AF479" s="141"/>
      <c r="AM479" s="141"/>
      <c r="BC479" s="142"/>
    </row>
    <row r="480" ht="14.25" customHeight="1">
      <c r="R480" s="143"/>
      <c r="AF480" s="141"/>
      <c r="AM480" s="141"/>
      <c r="BC480" s="142"/>
    </row>
    <row r="481" ht="14.25" customHeight="1">
      <c r="R481" s="143"/>
      <c r="AF481" s="141"/>
      <c r="AM481" s="141"/>
      <c r="BC481" s="142"/>
    </row>
    <row r="482" ht="14.25" customHeight="1">
      <c r="R482" s="143"/>
      <c r="AF482" s="141"/>
      <c r="AM482" s="141"/>
      <c r="BC482" s="142"/>
    </row>
    <row r="483" ht="14.25" customHeight="1">
      <c r="R483" s="143"/>
      <c r="AF483" s="141"/>
      <c r="AM483" s="141"/>
      <c r="BC483" s="142"/>
    </row>
    <row r="484" ht="14.25" customHeight="1">
      <c r="R484" s="143"/>
      <c r="AF484" s="141"/>
      <c r="AM484" s="141"/>
      <c r="BC484" s="142"/>
    </row>
    <row r="485" ht="14.25" customHeight="1">
      <c r="R485" s="143"/>
      <c r="AF485" s="141"/>
      <c r="AM485" s="141"/>
      <c r="BC485" s="142"/>
    </row>
    <row r="486" ht="14.25" customHeight="1">
      <c r="R486" s="143"/>
      <c r="AF486" s="141"/>
      <c r="AM486" s="141"/>
      <c r="BC486" s="142"/>
    </row>
    <row r="487" ht="14.25" customHeight="1">
      <c r="R487" s="143"/>
      <c r="AF487" s="141"/>
      <c r="AM487" s="141"/>
      <c r="BC487" s="142"/>
    </row>
    <row r="488" ht="14.25" customHeight="1">
      <c r="R488" s="143"/>
      <c r="AF488" s="141"/>
      <c r="AM488" s="141"/>
      <c r="BC488" s="142"/>
    </row>
    <row r="489" ht="14.25" customHeight="1">
      <c r="R489" s="143"/>
      <c r="AF489" s="141"/>
      <c r="AM489" s="141"/>
      <c r="BC489" s="142"/>
    </row>
    <row r="490" ht="14.25" customHeight="1">
      <c r="R490" s="143"/>
      <c r="AF490" s="141"/>
      <c r="AM490" s="141"/>
      <c r="BC490" s="142"/>
    </row>
    <row r="491" ht="14.25" customHeight="1">
      <c r="R491" s="143"/>
      <c r="AF491" s="141"/>
      <c r="AM491" s="141"/>
      <c r="BC491" s="142"/>
    </row>
    <row r="492" ht="14.25" customHeight="1">
      <c r="R492" s="143"/>
      <c r="AF492" s="141"/>
      <c r="AM492" s="141"/>
      <c r="BC492" s="142"/>
    </row>
    <row r="493" ht="14.25" customHeight="1">
      <c r="R493" s="143"/>
      <c r="AF493" s="141"/>
      <c r="AM493" s="141"/>
      <c r="BC493" s="142"/>
    </row>
    <row r="494" ht="14.25" customHeight="1">
      <c r="R494" s="143"/>
      <c r="AF494" s="141"/>
      <c r="AM494" s="141"/>
      <c r="BC494" s="142"/>
    </row>
    <row r="495" ht="14.25" customHeight="1">
      <c r="R495" s="143"/>
      <c r="AF495" s="141"/>
      <c r="AM495" s="141"/>
      <c r="BC495" s="142"/>
    </row>
    <row r="496" ht="14.25" customHeight="1">
      <c r="R496" s="143"/>
      <c r="AF496" s="141"/>
      <c r="AM496" s="141"/>
      <c r="BC496" s="142"/>
    </row>
    <row r="497" ht="14.25" customHeight="1">
      <c r="R497" s="143"/>
      <c r="AF497" s="141"/>
      <c r="AM497" s="141"/>
      <c r="BC497" s="142"/>
    </row>
    <row r="498" ht="14.25" customHeight="1">
      <c r="R498" s="143"/>
      <c r="AF498" s="141"/>
      <c r="AM498" s="141"/>
      <c r="BC498" s="142"/>
    </row>
    <row r="499" ht="14.25" customHeight="1">
      <c r="R499" s="143"/>
      <c r="AF499" s="141"/>
      <c r="AM499" s="141"/>
      <c r="BC499" s="142"/>
    </row>
    <row r="500" ht="14.25" customHeight="1">
      <c r="R500" s="143"/>
      <c r="AF500" s="141"/>
      <c r="AM500" s="141"/>
      <c r="BC500" s="142"/>
    </row>
    <row r="501" ht="14.25" customHeight="1">
      <c r="R501" s="143"/>
      <c r="AF501" s="141"/>
      <c r="AM501" s="141"/>
      <c r="BC501" s="142"/>
    </row>
    <row r="502" ht="14.25" customHeight="1">
      <c r="R502" s="143"/>
      <c r="AF502" s="141"/>
      <c r="AM502" s="141"/>
      <c r="BC502" s="142"/>
    </row>
    <row r="503" ht="14.25" customHeight="1">
      <c r="R503" s="143"/>
      <c r="AF503" s="141"/>
      <c r="AM503" s="141"/>
      <c r="BC503" s="142"/>
    </row>
    <row r="504" ht="14.25" customHeight="1">
      <c r="R504" s="143"/>
      <c r="AF504" s="141"/>
      <c r="AM504" s="141"/>
      <c r="BC504" s="142"/>
    </row>
    <row r="505" ht="14.25" customHeight="1">
      <c r="R505" s="143"/>
      <c r="AF505" s="141"/>
      <c r="AM505" s="141"/>
      <c r="BC505" s="142"/>
    </row>
    <row r="506" ht="14.25" customHeight="1">
      <c r="R506" s="143"/>
      <c r="AF506" s="141"/>
      <c r="AM506" s="141"/>
      <c r="BC506" s="142"/>
    </row>
    <row r="507" ht="14.25" customHeight="1">
      <c r="R507" s="143"/>
      <c r="AF507" s="141"/>
      <c r="AM507" s="141"/>
      <c r="BC507" s="142"/>
    </row>
    <row r="508" ht="14.25" customHeight="1">
      <c r="R508" s="143"/>
      <c r="AF508" s="141"/>
      <c r="AM508" s="141"/>
      <c r="BC508" s="142"/>
    </row>
    <row r="509" ht="14.25" customHeight="1">
      <c r="R509" s="143"/>
      <c r="AF509" s="141"/>
      <c r="AM509" s="141"/>
      <c r="BC509" s="142"/>
    </row>
    <row r="510" ht="14.25" customHeight="1">
      <c r="R510" s="143"/>
      <c r="AF510" s="141"/>
      <c r="AM510" s="141"/>
      <c r="BC510" s="142"/>
    </row>
    <row r="511" ht="14.25" customHeight="1">
      <c r="R511" s="143"/>
      <c r="AF511" s="141"/>
      <c r="AM511" s="141"/>
      <c r="BC511" s="142"/>
    </row>
    <row r="512" ht="14.25" customHeight="1">
      <c r="R512" s="143"/>
      <c r="AF512" s="141"/>
      <c r="AM512" s="141"/>
      <c r="BC512" s="142"/>
    </row>
    <row r="513" ht="14.25" customHeight="1">
      <c r="R513" s="143"/>
      <c r="AF513" s="141"/>
      <c r="AM513" s="141"/>
      <c r="BC513" s="142"/>
    </row>
    <row r="514" ht="14.25" customHeight="1">
      <c r="R514" s="143"/>
      <c r="AF514" s="141"/>
      <c r="AM514" s="141"/>
      <c r="BC514" s="142"/>
    </row>
    <row r="515" ht="14.25" customHeight="1">
      <c r="R515" s="143"/>
      <c r="AF515" s="141"/>
      <c r="AM515" s="141"/>
      <c r="BC515" s="142"/>
    </row>
    <row r="516" ht="14.25" customHeight="1">
      <c r="R516" s="143"/>
      <c r="AF516" s="141"/>
      <c r="AM516" s="141"/>
      <c r="BC516" s="142"/>
    </row>
    <row r="517" ht="14.25" customHeight="1">
      <c r="R517" s="143"/>
      <c r="AF517" s="141"/>
      <c r="AM517" s="141"/>
      <c r="BC517" s="142"/>
    </row>
    <row r="518" ht="14.25" customHeight="1">
      <c r="R518" s="143"/>
      <c r="AF518" s="141"/>
      <c r="AM518" s="141"/>
      <c r="BC518" s="142"/>
    </row>
    <row r="519" ht="14.25" customHeight="1">
      <c r="R519" s="143"/>
      <c r="AF519" s="141"/>
      <c r="AM519" s="141"/>
      <c r="BC519" s="142"/>
    </row>
    <row r="520" ht="14.25" customHeight="1">
      <c r="R520" s="143"/>
      <c r="AF520" s="141"/>
      <c r="AM520" s="141"/>
      <c r="BC520" s="142"/>
    </row>
    <row r="521" ht="14.25" customHeight="1">
      <c r="R521" s="143"/>
      <c r="AF521" s="141"/>
      <c r="AM521" s="141"/>
      <c r="BC521" s="142"/>
    </row>
    <row r="522" ht="14.25" customHeight="1">
      <c r="R522" s="143"/>
      <c r="AF522" s="141"/>
      <c r="AM522" s="141"/>
      <c r="BC522" s="142"/>
    </row>
    <row r="523" ht="14.25" customHeight="1">
      <c r="R523" s="143"/>
      <c r="AF523" s="141"/>
      <c r="AM523" s="141"/>
      <c r="BC523" s="142"/>
    </row>
    <row r="524" ht="14.25" customHeight="1">
      <c r="R524" s="143"/>
      <c r="AF524" s="141"/>
      <c r="AM524" s="141"/>
      <c r="BC524" s="142"/>
    </row>
    <row r="525" ht="14.25" customHeight="1">
      <c r="R525" s="143"/>
      <c r="AF525" s="141"/>
      <c r="AM525" s="141"/>
      <c r="BC525" s="142"/>
    </row>
    <row r="526" ht="14.25" customHeight="1">
      <c r="R526" s="143"/>
      <c r="AF526" s="141"/>
      <c r="AM526" s="141"/>
      <c r="BC526" s="142"/>
    </row>
    <row r="527" ht="14.25" customHeight="1">
      <c r="R527" s="143"/>
      <c r="AF527" s="141"/>
      <c r="AM527" s="141"/>
      <c r="BC527" s="142"/>
    </row>
    <row r="528" ht="14.25" customHeight="1">
      <c r="R528" s="143"/>
      <c r="AF528" s="141"/>
      <c r="AM528" s="141"/>
      <c r="BC528" s="142"/>
    </row>
    <row r="529" ht="14.25" customHeight="1">
      <c r="R529" s="143"/>
      <c r="AF529" s="141"/>
      <c r="AM529" s="141"/>
      <c r="BC529" s="142"/>
    </row>
    <row r="530" ht="14.25" customHeight="1">
      <c r="R530" s="143"/>
      <c r="AF530" s="141"/>
      <c r="AM530" s="141"/>
      <c r="BC530" s="142"/>
    </row>
    <row r="531" ht="14.25" customHeight="1">
      <c r="R531" s="143"/>
      <c r="AF531" s="141"/>
      <c r="AM531" s="141"/>
      <c r="BC531" s="142"/>
    </row>
    <row r="532" ht="14.25" customHeight="1">
      <c r="R532" s="143"/>
      <c r="AF532" s="141"/>
      <c r="AM532" s="141"/>
      <c r="BC532" s="142"/>
    </row>
    <row r="533" ht="14.25" customHeight="1">
      <c r="R533" s="143"/>
      <c r="AF533" s="141"/>
      <c r="AM533" s="141"/>
      <c r="BC533" s="142"/>
    </row>
    <row r="534" ht="14.25" customHeight="1">
      <c r="R534" s="143"/>
      <c r="AF534" s="141"/>
      <c r="AM534" s="141"/>
      <c r="BC534" s="142"/>
    </row>
    <row r="535" ht="14.25" customHeight="1">
      <c r="R535" s="143"/>
      <c r="AF535" s="141"/>
      <c r="AM535" s="141"/>
      <c r="BC535" s="142"/>
    </row>
    <row r="536" ht="14.25" customHeight="1">
      <c r="R536" s="143"/>
      <c r="AF536" s="141"/>
      <c r="AM536" s="141"/>
      <c r="BC536" s="142"/>
    </row>
    <row r="537" ht="14.25" customHeight="1">
      <c r="R537" s="143"/>
      <c r="AF537" s="141"/>
      <c r="AM537" s="141"/>
      <c r="BC537" s="142"/>
    </row>
    <row r="538" ht="14.25" customHeight="1">
      <c r="R538" s="143"/>
      <c r="AF538" s="141"/>
      <c r="AM538" s="141"/>
      <c r="BC538" s="142"/>
    </row>
    <row r="539" ht="14.25" customHeight="1">
      <c r="R539" s="143"/>
      <c r="AF539" s="141"/>
      <c r="AM539" s="141"/>
      <c r="BC539" s="142"/>
    </row>
    <row r="540" ht="14.25" customHeight="1">
      <c r="R540" s="143"/>
      <c r="AF540" s="141"/>
      <c r="AM540" s="141"/>
      <c r="BC540" s="142"/>
    </row>
    <row r="541" ht="14.25" customHeight="1">
      <c r="R541" s="143"/>
      <c r="AF541" s="141"/>
      <c r="AM541" s="141"/>
      <c r="BC541" s="142"/>
    </row>
    <row r="542" ht="14.25" customHeight="1">
      <c r="R542" s="143"/>
      <c r="AF542" s="141"/>
      <c r="AM542" s="141"/>
      <c r="BC542" s="142"/>
    </row>
    <row r="543" ht="14.25" customHeight="1">
      <c r="R543" s="143"/>
      <c r="AF543" s="141"/>
      <c r="AM543" s="141"/>
      <c r="BC543" s="142"/>
    </row>
    <row r="544" ht="14.25" customHeight="1">
      <c r="R544" s="143"/>
      <c r="AF544" s="141"/>
      <c r="AM544" s="141"/>
      <c r="BC544" s="142"/>
    </row>
    <row r="545" ht="14.25" customHeight="1">
      <c r="R545" s="143"/>
      <c r="AF545" s="141"/>
      <c r="AM545" s="141"/>
      <c r="BC545" s="142"/>
    </row>
    <row r="546" ht="14.25" customHeight="1">
      <c r="R546" s="143"/>
      <c r="AF546" s="141"/>
      <c r="AM546" s="141"/>
      <c r="BC546" s="142"/>
    </row>
    <row r="547" ht="14.25" customHeight="1">
      <c r="R547" s="143"/>
      <c r="AF547" s="141"/>
      <c r="AM547" s="141"/>
      <c r="BC547" s="142"/>
    </row>
    <row r="548" ht="14.25" customHeight="1">
      <c r="R548" s="143"/>
      <c r="AF548" s="141"/>
      <c r="AM548" s="141"/>
      <c r="BC548" s="142"/>
    </row>
    <row r="549" ht="14.25" customHeight="1">
      <c r="R549" s="143"/>
      <c r="AF549" s="141"/>
      <c r="AM549" s="141"/>
      <c r="BC549" s="142"/>
    </row>
    <row r="550" ht="14.25" customHeight="1">
      <c r="R550" s="143"/>
      <c r="AF550" s="141"/>
      <c r="AM550" s="141"/>
      <c r="BC550" s="142"/>
    </row>
    <row r="551" ht="14.25" customHeight="1">
      <c r="R551" s="143"/>
      <c r="AF551" s="141"/>
      <c r="AM551" s="141"/>
      <c r="BC551" s="142"/>
    </row>
    <row r="552" ht="14.25" customHeight="1">
      <c r="R552" s="143"/>
      <c r="AF552" s="141"/>
      <c r="AM552" s="141"/>
      <c r="BC552" s="142"/>
    </row>
    <row r="553" ht="14.25" customHeight="1">
      <c r="R553" s="143"/>
      <c r="AF553" s="141"/>
      <c r="AM553" s="141"/>
      <c r="BC553" s="142"/>
    </row>
    <row r="554" ht="14.25" customHeight="1">
      <c r="R554" s="143"/>
      <c r="AF554" s="141"/>
      <c r="AM554" s="141"/>
      <c r="BC554" s="142"/>
    </row>
    <row r="555" ht="14.25" customHeight="1">
      <c r="R555" s="143"/>
      <c r="AF555" s="141"/>
      <c r="AM555" s="141"/>
      <c r="BC555" s="142"/>
    </row>
    <row r="556" ht="14.25" customHeight="1">
      <c r="R556" s="143"/>
      <c r="AF556" s="141"/>
      <c r="AM556" s="141"/>
      <c r="BC556" s="142"/>
    </row>
    <row r="557" ht="14.25" customHeight="1">
      <c r="R557" s="143"/>
      <c r="AF557" s="141"/>
      <c r="AM557" s="141"/>
      <c r="BC557" s="142"/>
    </row>
    <row r="558" ht="14.25" customHeight="1">
      <c r="R558" s="143"/>
      <c r="AF558" s="141"/>
      <c r="AM558" s="141"/>
      <c r="BC558" s="142"/>
    </row>
    <row r="559" ht="14.25" customHeight="1">
      <c r="R559" s="143"/>
      <c r="AF559" s="141"/>
      <c r="AM559" s="141"/>
      <c r="BC559" s="142"/>
    </row>
    <row r="560" ht="14.25" customHeight="1">
      <c r="R560" s="143"/>
      <c r="AF560" s="141"/>
      <c r="AM560" s="141"/>
      <c r="BC560" s="142"/>
    </row>
    <row r="561" ht="14.25" customHeight="1">
      <c r="R561" s="143"/>
      <c r="AF561" s="141"/>
      <c r="AM561" s="141"/>
      <c r="BC561" s="142"/>
    </row>
    <row r="562" ht="14.25" customHeight="1">
      <c r="R562" s="143"/>
      <c r="AF562" s="141"/>
      <c r="AM562" s="141"/>
      <c r="BC562" s="142"/>
    </row>
    <row r="563" ht="14.25" customHeight="1">
      <c r="R563" s="143"/>
      <c r="AF563" s="141"/>
      <c r="AM563" s="141"/>
      <c r="BC563" s="142"/>
    </row>
    <row r="564" ht="14.25" customHeight="1">
      <c r="R564" s="143"/>
      <c r="AF564" s="141"/>
      <c r="AM564" s="141"/>
      <c r="BC564" s="142"/>
    </row>
    <row r="565" ht="14.25" customHeight="1">
      <c r="R565" s="143"/>
      <c r="AF565" s="141"/>
      <c r="AM565" s="141"/>
      <c r="BC565" s="142"/>
    </row>
    <row r="566" ht="14.25" customHeight="1">
      <c r="R566" s="143"/>
      <c r="AF566" s="141"/>
      <c r="AM566" s="141"/>
      <c r="BC566" s="142"/>
    </row>
    <row r="567" ht="14.25" customHeight="1">
      <c r="R567" s="143"/>
      <c r="AF567" s="141"/>
      <c r="AM567" s="141"/>
      <c r="BC567" s="142"/>
    </row>
    <row r="568" ht="14.25" customHeight="1">
      <c r="R568" s="143"/>
      <c r="AF568" s="141"/>
      <c r="AM568" s="141"/>
      <c r="BC568" s="142"/>
    </row>
    <row r="569" ht="14.25" customHeight="1">
      <c r="R569" s="143"/>
      <c r="AF569" s="141"/>
      <c r="AM569" s="141"/>
      <c r="BC569" s="142"/>
    </row>
    <row r="570" ht="14.25" customHeight="1">
      <c r="R570" s="143"/>
      <c r="AF570" s="141"/>
      <c r="AM570" s="141"/>
      <c r="BC570" s="142"/>
    </row>
    <row r="571" ht="14.25" customHeight="1">
      <c r="R571" s="143"/>
      <c r="AF571" s="141"/>
      <c r="AM571" s="141"/>
      <c r="BC571" s="142"/>
    </row>
    <row r="572" ht="14.25" customHeight="1">
      <c r="R572" s="143"/>
      <c r="AF572" s="141"/>
      <c r="AM572" s="141"/>
      <c r="BC572" s="142"/>
    </row>
    <row r="573" ht="14.25" customHeight="1">
      <c r="R573" s="143"/>
      <c r="AF573" s="141"/>
      <c r="AM573" s="141"/>
      <c r="BC573" s="142"/>
    </row>
    <row r="574" ht="14.25" customHeight="1">
      <c r="R574" s="143"/>
      <c r="AF574" s="141"/>
      <c r="AM574" s="141"/>
      <c r="BC574" s="142"/>
    </row>
    <row r="575" ht="14.25" customHeight="1">
      <c r="R575" s="143"/>
      <c r="AF575" s="141"/>
      <c r="AM575" s="141"/>
      <c r="BC575" s="142"/>
    </row>
    <row r="576" ht="14.25" customHeight="1">
      <c r="R576" s="143"/>
      <c r="AF576" s="141"/>
      <c r="AM576" s="141"/>
      <c r="BC576" s="142"/>
    </row>
    <row r="577" ht="14.25" customHeight="1">
      <c r="R577" s="143"/>
      <c r="AF577" s="141"/>
      <c r="AM577" s="141"/>
      <c r="BC577" s="142"/>
    </row>
    <row r="578" ht="14.25" customHeight="1">
      <c r="R578" s="143"/>
      <c r="AF578" s="141"/>
      <c r="AM578" s="141"/>
      <c r="BC578" s="142"/>
    </row>
    <row r="579" ht="14.25" customHeight="1">
      <c r="R579" s="143"/>
      <c r="AF579" s="141"/>
      <c r="AM579" s="141"/>
      <c r="BC579" s="142"/>
    </row>
    <row r="580" ht="14.25" customHeight="1">
      <c r="R580" s="143"/>
      <c r="AF580" s="141"/>
      <c r="AM580" s="141"/>
      <c r="BC580" s="142"/>
    </row>
    <row r="581" ht="14.25" customHeight="1">
      <c r="R581" s="143"/>
      <c r="AF581" s="141"/>
      <c r="AM581" s="141"/>
      <c r="BC581" s="142"/>
    </row>
    <row r="582" ht="14.25" customHeight="1">
      <c r="R582" s="143"/>
      <c r="AF582" s="141"/>
      <c r="AM582" s="141"/>
      <c r="BC582" s="142"/>
    </row>
    <row r="583" ht="14.25" customHeight="1">
      <c r="R583" s="143"/>
      <c r="AF583" s="141"/>
      <c r="AM583" s="141"/>
      <c r="BC583" s="142"/>
    </row>
    <row r="584" ht="14.25" customHeight="1">
      <c r="R584" s="143"/>
      <c r="AF584" s="141"/>
      <c r="AM584" s="141"/>
      <c r="BC584" s="142"/>
    </row>
    <row r="585" ht="14.25" customHeight="1">
      <c r="R585" s="143"/>
      <c r="AF585" s="141"/>
      <c r="AM585" s="141"/>
      <c r="BC585" s="142"/>
    </row>
    <row r="586" ht="14.25" customHeight="1">
      <c r="R586" s="143"/>
      <c r="AF586" s="141"/>
      <c r="AM586" s="141"/>
      <c r="BC586" s="142"/>
    </row>
    <row r="587" ht="14.25" customHeight="1">
      <c r="R587" s="143"/>
      <c r="AF587" s="141"/>
      <c r="AM587" s="141"/>
      <c r="BC587" s="142"/>
    </row>
    <row r="588" ht="14.25" customHeight="1">
      <c r="R588" s="143"/>
      <c r="AF588" s="141"/>
      <c r="AM588" s="141"/>
      <c r="BC588" s="142"/>
    </row>
    <row r="589" ht="14.25" customHeight="1">
      <c r="R589" s="143"/>
      <c r="AF589" s="141"/>
      <c r="AM589" s="141"/>
      <c r="BC589" s="142"/>
    </row>
    <row r="590" ht="14.25" customHeight="1">
      <c r="R590" s="143"/>
      <c r="AF590" s="141"/>
      <c r="AM590" s="141"/>
      <c r="BC590" s="142"/>
    </row>
    <row r="591" ht="14.25" customHeight="1">
      <c r="R591" s="143"/>
      <c r="AF591" s="141"/>
      <c r="AM591" s="141"/>
      <c r="BC591" s="142"/>
    </row>
    <row r="592" ht="14.25" customHeight="1">
      <c r="R592" s="143"/>
      <c r="AF592" s="141"/>
      <c r="AM592" s="141"/>
      <c r="BC592" s="142"/>
    </row>
    <row r="593" ht="14.25" customHeight="1">
      <c r="R593" s="143"/>
      <c r="AF593" s="141"/>
      <c r="AM593" s="141"/>
      <c r="BC593" s="142"/>
    </row>
    <row r="594" ht="14.25" customHeight="1">
      <c r="R594" s="143"/>
      <c r="AF594" s="141"/>
      <c r="AM594" s="141"/>
      <c r="BC594" s="142"/>
    </row>
    <row r="595" ht="14.25" customHeight="1">
      <c r="R595" s="143"/>
      <c r="AF595" s="141"/>
      <c r="AM595" s="141"/>
      <c r="BC595" s="142"/>
    </row>
    <row r="596" ht="14.25" customHeight="1">
      <c r="R596" s="143"/>
      <c r="AF596" s="141"/>
      <c r="AM596" s="141"/>
      <c r="BC596" s="142"/>
    </row>
    <row r="597" ht="14.25" customHeight="1">
      <c r="R597" s="143"/>
      <c r="AF597" s="141"/>
      <c r="AM597" s="141"/>
      <c r="BC597" s="142"/>
    </row>
    <row r="598" ht="14.25" customHeight="1">
      <c r="R598" s="143"/>
      <c r="AF598" s="141"/>
      <c r="AM598" s="141"/>
      <c r="BC598" s="142"/>
    </row>
    <row r="599" ht="14.25" customHeight="1">
      <c r="R599" s="143"/>
      <c r="AF599" s="141"/>
      <c r="AM599" s="141"/>
      <c r="BC599" s="142"/>
    </row>
    <row r="600" ht="14.25" customHeight="1">
      <c r="R600" s="143"/>
      <c r="AF600" s="141"/>
      <c r="AM600" s="141"/>
      <c r="BC600" s="142"/>
    </row>
    <row r="601" ht="14.25" customHeight="1">
      <c r="R601" s="143"/>
      <c r="AF601" s="141"/>
      <c r="AM601" s="141"/>
      <c r="BC601" s="142"/>
    </row>
    <row r="602" ht="14.25" customHeight="1">
      <c r="R602" s="143"/>
      <c r="AF602" s="141"/>
      <c r="AM602" s="141"/>
      <c r="BC602" s="142"/>
    </row>
    <row r="603" ht="14.25" customHeight="1">
      <c r="R603" s="143"/>
      <c r="AF603" s="141"/>
      <c r="AM603" s="141"/>
      <c r="BC603" s="142"/>
    </row>
    <row r="604" ht="14.25" customHeight="1">
      <c r="R604" s="143"/>
      <c r="AF604" s="141"/>
      <c r="AM604" s="141"/>
      <c r="BC604" s="142"/>
    </row>
    <row r="605" ht="14.25" customHeight="1">
      <c r="R605" s="143"/>
      <c r="AF605" s="141"/>
      <c r="AM605" s="141"/>
      <c r="BC605" s="142"/>
    </row>
    <row r="606" ht="14.25" customHeight="1">
      <c r="R606" s="143"/>
      <c r="AF606" s="141"/>
      <c r="AM606" s="141"/>
      <c r="BC606" s="142"/>
    </row>
    <row r="607" ht="14.25" customHeight="1">
      <c r="R607" s="143"/>
      <c r="AF607" s="141"/>
      <c r="AM607" s="141"/>
      <c r="BC607" s="142"/>
    </row>
    <row r="608" ht="14.25" customHeight="1">
      <c r="R608" s="143"/>
      <c r="AF608" s="141"/>
      <c r="AM608" s="141"/>
      <c r="BC608" s="142"/>
    </row>
    <row r="609" ht="14.25" customHeight="1">
      <c r="R609" s="143"/>
      <c r="AF609" s="141"/>
      <c r="AM609" s="141"/>
      <c r="BC609" s="142"/>
    </row>
    <row r="610" ht="14.25" customHeight="1">
      <c r="R610" s="143"/>
      <c r="AF610" s="141"/>
      <c r="AM610" s="141"/>
      <c r="BC610" s="142"/>
    </row>
    <row r="611" ht="14.25" customHeight="1">
      <c r="R611" s="143"/>
      <c r="AF611" s="141"/>
      <c r="AM611" s="141"/>
      <c r="BC611" s="142"/>
    </row>
    <row r="612" ht="14.25" customHeight="1">
      <c r="R612" s="143"/>
      <c r="AF612" s="141"/>
      <c r="AM612" s="141"/>
      <c r="BC612" s="142"/>
    </row>
    <row r="613" ht="14.25" customHeight="1">
      <c r="R613" s="143"/>
      <c r="AF613" s="141"/>
      <c r="AM613" s="141"/>
      <c r="BC613" s="142"/>
    </row>
    <row r="614" ht="14.25" customHeight="1">
      <c r="R614" s="143"/>
      <c r="AF614" s="141"/>
      <c r="AM614" s="141"/>
      <c r="BC614" s="142"/>
    </row>
    <row r="615" ht="14.25" customHeight="1">
      <c r="R615" s="143"/>
      <c r="AF615" s="141"/>
      <c r="AM615" s="141"/>
      <c r="BC615" s="142"/>
    </row>
    <row r="616" ht="14.25" customHeight="1">
      <c r="R616" s="143"/>
      <c r="AF616" s="141"/>
      <c r="AM616" s="141"/>
      <c r="BC616" s="142"/>
    </row>
    <row r="617" ht="14.25" customHeight="1">
      <c r="R617" s="143"/>
      <c r="AF617" s="141"/>
      <c r="AM617" s="141"/>
      <c r="BC617" s="142"/>
    </row>
    <row r="618" ht="14.25" customHeight="1">
      <c r="R618" s="143"/>
      <c r="AF618" s="141"/>
      <c r="AM618" s="141"/>
      <c r="BC618" s="142"/>
    </row>
    <row r="619" ht="14.25" customHeight="1">
      <c r="R619" s="143"/>
      <c r="AF619" s="141"/>
      <c r="AM619" s="141"/>
      <c r="BC619" s="142"/>
    </row>
    <row r="620" ht="14.25" customHeight="1">
      <c r="R620" s="143"/>
      <c r="AF620" s="141"/>
      <c r="AM620" s="141"/>
      <c r="BC620" s="142"/>
    </row>
    <row r="621" ht="14.25" customHeight="1">
      <c r="R621" s="143"/>
      <c r="AF621" s="141"/>
      <c r="AM621" s="141"/>
      <c r="BC621" s="142"/>
    </row>
    <row r="622" ht="14.25" customHeight="1">
      <c r="R622" s="143"/>
      <c r="AF622" s="141"/>
      <c r="AM622" s="141"/>
      <c r="BC622" s="142"/>
    </row>
    <row r="623" ht="14.25" customHeight="1">
      <c r="R623" s="143"/>
      <c r="AF623" s="141"/>
      <c r="AM623" s="141"/>
      <c r="BC623" s="142"/>
    </row>
    <row r="624" ht="14.25" customHeight="1">
      <c r="R624" s="143"/>
      <c r="AF624" s="141"/>
      <c r="AM624" s="141"/>
      <c r="BC624" s="142"/>
    </row>
    <row r="625" ht="14.25" customHeight="1">
      <c r="R625" s="143"/>
      <c r="AF625" s="141"/>
      <c r="AM625" s="141"/>
      <c r="BC625" s="142"/>
    </row>
    <row r="626" ht="14.25" customHeight="1">
      <c r="R626" s="143"/>
      <c r="AF626" s="141"/>
      <c r="AM626" s="141"/>
      <c r="BC626" s="142"/>
    </row>
    <row r="627" ht="14.25" customHeight="1">
      <c r="R627" s="143"/>
      <c r="AF627" s="141"/>
      <c r="AM627" s="141"/>
      <c r="BC627" s="142"/>
    </row>
    <row r="628" ht="14.25" customHeight="1">
      <c r="R628" s="143"/>
      <c r="AF628" s="141"/>
      <c r="AM628" s="141"/>
      <c r="BC628" s="142"/>
    </row>
    <row r="629" ht="14.25" customHeight="1">
      <c r="R629" s="143"/>
      <c r="AF629" s="141"/>
      <c r="AM629" s="141"/>
      <c r="BC629" s="142"/>
    </row>
    <row r="630" ht="14.25" customHeight="1">
      <c r="R630" s="143"/>
      <c r="AF630" s="141"/>
      <c r="AM630" s="141"/>
      <c r="BC630" s="142"/>
    </row>
    <row r="631" ht="14.25" customHeight="1">
      <c r="R631" s="143"/>
      <c r="AF631" s="141"/>
      <c r="AM631" s="141"/>
      <c r="BC631" s="142"/>
    </row>
    <row r="632" ht="14.25" customHeight="1">
      <c r="R632" s="143"/>
      <c r="AF632" s="141"/>
      <c r="AM632" s="141"/>
      <c r="BC632" s="142"/>
    </row>
    <row r="633" ht="14.25" customHeight="1">
      <c r="R633" s="143"/>
      <c r="AF633" s="141"/>
      <c r="AM633" s="141"/>
      <c r="BC633" s="142"/>
    </row>
    <row r="634" ht="14.25" customHeight="1">
      <c r="R634" s="143"/>
      <c r="AF634" s="141"/>
      <c r="AM634" s="141"/>
      <c r="BC634" s="142"/>
    </row>
    <row r="635" ht="14.25" customHeight="1">
      <c r="R635" s="143"/>
      <c r="AF635" s="141"/>
      <c r="AM635" s="141"/>
      <c r="BC635" s="142"/>
    </row>
    <row r="636" ht="14.25" customHeight="1">
      <c r="R636" s="143"/>
      <c r="AF636" s="141"/>
      <c r="AM636" s="141"/>
      <c r="BC636" s="142"/>
    </row>
    <row r="637" ht="14.25" customHeight="1">
      <c r="R637" s="143"/>
      <c r="AF637" s="141"/>
      <c r="AM637" s="141"/>
      <c r="BC637" s="142"/>
    </row>
    <row r="638" ht="14.25" customHeight="1">
      <c r="R638" s="143"/>
      <c r="AF638" s="141"/>
      <c r="AM638" s="141"/>
      <c r="BC638" s="142"/>
    </row>
    <row r="639" ht="14.25" customHeight="1">
      <c r="R639" s="143"/>
      <c r="AF639" s="141"/>
      <c r="AM639" s="141"/>
      <c r="BC639" s="142"/>
    </row>
    <row r="640" ht="14.25" customHeight="1">
      <c r="R640" s="143"/>
      <c r="AF640" s="141"/>
      <c r="AM640" s="141"/>
      <c r="BC640" s="142"/>
    </row>
    <row r="641" ht="14.25" customHeight="1">
      <c r="R641" s="143"/>
      <c r="AF641" s="141"/>
      <c r="AM641" s="141"/>
      <c r="BC641" s="142"/>
    </row>
    <row r="642" ht="14.25" customHeight="1">
      <c r="R642" s="143"/>
      <c r="AF642" s="141"/>
      <c r="AM642" s="141"/>
      <c r="BC642" s="142"/>
    </row>
    <row r="643" ht="14.25" customHeight="1">
      <c r="R643" s="143"/>
      <c r="AF643" s="141"/>
      <c r="AM643" s="141"/>
      <c r="BC643" s="142"/>
    </row>
    <row r="644" ht="14.25" customHeight="1">
      <c r="R644" s="143"/>
      <c r="AF644" s="141"/>
      <c r="AM644" s="141"/>
      <c r="BC644" s="142"/>
    </row>
    <row r="645" ht="14.25" customHeight="1">
      <c r="R645" s="143"/>
      <c r="AF645" s="141"/>
      <c r="AM645" s="141"/>
      <c r="BC645" s="142"/>
    </row>
    <row r="646" ht="14.25" customHeight="1">
      <c r="R646" s="143"/>
      <c r="AF646" s="141"/>
      <c r="AM646" s="141"/>
      <c r="BC646" s="142"/>
    </row>
    <row r="647" ht="14.25" customHeight="1">
      <c r="R647" s="143"/>
      <c r="AF647" s="141"/>
      <c r="AM647" s="141"/>
      <c r="BC647" s="142"/>
    </row>
    <row r="648" ht="14.25" customHeight="1">
      <c r="R648" s="143"/>
      <c r="AF648" s="141"/>
      <c r="AM648" s="141"/>
      <c r="BC648" s="142"/>
    </row>
    <row r="649" ht="14.25" customHeight="1">
      <c r="R649" s="143"/>
      <c r="AF649" s="141"/>
      <c r="AM649" s="141"/>
      <c r="BC649" s="142"/>
    </row>
    <row r="650" ht="14.25" customHeight="1">
      <c r="R650" s="143"/>
      <c r="AF650" s="141"/>
      <c r="AM650" s="141"/>
      <c r="BC650" s="142"/>
    </row>
    <row r="651" ht="14.25" customHeight="1">
      <c r="R651" s="143"/>
      <c r="AF651" s="141"/>
      <c r="AM651" s="141"/>
      <c r="BC651" s="142"/>
    </row>
    <row r="652" ht="14.25" customHeight="1">
      <c r="R652" s="143"/>
      <c r="AF652" s="141"/>
      <c r="AM652" s="141"/>
      <c r="BC652" s="142"/>
    </row>
    <row r="653" ht="14.25" customHeight="1">
      <c r="R653" s="143"/>
      <c r="AF653" s="141"/>
      <c r="AM653" s="141"/>
      <c r="BC653" s="142"/>
    </row>
    <row r="654" ht="14.25" customHeight="1">
      <c r="R654" s="143"/>
      <c r="AF654" s="141"/>
      <c r="AM654" s="141"/>
      <c r="BC654" s="142"/>
    </row>
    <row r="655" ht="14.25" customHeight="1">
      <c r="R655" s="143"/>
      <c r="AF655" s="141"/>
      <c r="AM655" s="141"/>
      <c r="BC655" s="142"/>
    </row>
    <row r="656" ht="14.25" customHeight="1">
      <c r="R656" s="143"/>
      <c r="AF656" s="141"/>
      <c r="AM656" s="141"/>
      <c r="BC656" s="142"/>
    </row>
    <row r="657" ht="14.25" customHeight="1">
      <c r="R657" s="143"/>
      <c r="AF657" s="141"/>
      <c r="AM657" s="141"/>
      <c r="BC657" s="142"/>
    </row>
    <row r="658" ht="14.25" customHeight="1">
      <c r="R658" s="143"/>
      <c r="AF658" s="141"/>
      <c r="AM658" s="141"/>
      <c r="BC658" s="142"/>
    </row>
    <row r="659" ht="14.25" customHeight="1">
      <c r="R659" s="143"/>
      <c r="AF659" s="141"/>
      <c r="AM659" s="141"/>
      <c r="BC659" s="142"/>
    </row>
    <row r="660" ht="14.25" customHeight="1">
      <c r="R660" s="143"/>
      <c r="AF660" s="141"/>
      <c r="AM660" s="141"/>
      <c r="BC660" s="142"/>
    </row>
    <row r="661" ht="14.25" customHeight="1">
      <c r="R661" s="143"/>
      <c r="AF661" s="141"/>
      <c r="AM661" s="141"/>
      <c r="BC661" s="142"/>
    </row>
    <row r="662" ht="14.25" customHeight="1">
      <c r="R662" s="143"/>
      <c r="AF662" s="141"/>
      <c r="AM662" s="141"/>
      <c r="BC662" s="142"/>
    </row>
    <row r="663" ht="14.25" customHeight="1">
      <c r="R663" s="143"/>
      <c r="AF663" s="141"/>
      <c r="AM663" s="141"/>
      <c r="BC663" s="142"/>
    </row>
    <row r="664" ht="14.25" customHeight="1">
      <c r="R664" s="143"/>
      <c r="AF664" s="141"/>
      <c r="AM664" s="141"/>
      <c r="BC664" s="142"/>
    </row>
    <row r="665" ht="14.25" customHeight="1">
      <c r="R665" s="143"/>
      <c r="AF665" s="141"/>
      <c r="AM665" s="141"/>
      <c r="BC665" s="142"/>
    </row>
    <row r="666" ht="14.25" customHeight="1">
      <c r="R666" s="143"/>
      <c r="AF666" s="141"/>
      <c r="AM666" s="141"/>
      <c r="BC666" s="142"/>
    </row>
    <row r="667" ht="14.25" customHeight="1">
      <c r="R667" s="143"/>
      <c r="AF667" s="141"/>
      <c r="AM667" s="141"/>
      <c r="BC667" s="142"/>
    </row>
    <row r="668" ht="14.25" customHeight="1">
      <c r="R668" s="143"/>
      <c r="AF668" s="141"/>
      <c r="AM668" s="141"/>
      <c r="BC668" s="142"/>
    </row>
    <row r="669" ht="14.25" customHeight="1">
      <c r="R669" s="143"/>
      <c r="AF669" s="141"/>
      <c r="AM669" s="141"/>
      <c r="BC669" s="142"/>
    </row>
    <row r="670" ht="14.25" customHeight="1">
      <c r="R670" s="143"/>
      <c r="AF670" s="141"/>
      <c r="AM670" s="141"/>
      <c r="BC670" s="142"/>
    </row>
    <row r="671" ht="14.25" customHeight="1">
      <c r="R671" s="143"/>
      <c r="AF671" s="141"/>
      <c r="AM671" s="141"/>
      <c r="BC671" s="142"/>
    </row>
    <row r="672" ht="14.25" customHeight="1">
      <c r="R672" s="143"/>
      <c r="AF672" s="141"/>
      <c r="AM672" s="141"/>
      <c r="BC672" s="142"/>
    </row>
    <row r="673" ht="14.25" customHeight="1">
      <c r="R673" s="143"/>
      <c r="AF673" s="141"/>
      <c r="AM673" s="141"/>
      <c r="BC673" s="142"/>
    </row>
    <row r="674" ht="14.25" customHeight="1">
      <c r="R674" s="143"/>
      <c r="AF674" s="141"/>
      <c r="AM674" s="141"/>
      <c r="BC674" s="142"/>
    </row>
    <row r="675" ht="14.25" customHeight="1">
      <c r="R675" s="143"/>
      <c r="AF675" s="141"/>
      <c r="AM675" s="141"/>
      <c r="BC675" s="142"/>
    </row>
    <row r="676" ht="14.25" customHeight="1">
      <c r="R676" s="143"/>
      <c r="AF676" s="141"/>
      <c r="AM676" s="141"/>
      <c r="BC676" s="142"/>
    </row>
    <row r="677" ht="14.25" customHeight="1">
      <c r="R677" s="143"/>
      <c r="AF677" s="141"/>
      <c r="AM677" s="141"/>
      <c r="BC677" s="142"/>
    </row>
    <row r="678" ht="14.25" customHeight="1">
      <c r="R678" s="143"/>
      <c r="AF678" s="141"/>
      <c r="AM678" s="141"/>
      <c r="BC678" s="142"/>
    </row>
    <row r="679" ht="14.25" customHeight="1">
      <c r="R679" s="143"/>
      <c r="AF679" s="141"/>
      <c r="AM679" s="141"/>
      <c r="BC679" s="142"/>
    </row>
    <row r="680" ht="14.25" customHeight="1">
      <c r="R680" s="143"/>
      <c r="AF680" s="141"/>
      <c r="AM680" s="141"/>
      <c r="BC680" s="142"/>
    </row>
    <row r="681" ht="14.25" customHeight="1">
      <c r="R681" s="143"/>
      <c r="AF681" s="141"/>
      <c r="AM681" s="141"/>
      <c r="BC681" s="142"/>
    </row>
    <row r="682" ht="14.25" customHeight="1">
      <c r="R682" s="143"/>
      <c r="AF682" s="141"/>
      <c r="AM682" s="141"/>
      <c r="BC682" s="142"/>
    </row>
    <row r="683" ht="14.25" customHeight="1">
      <c r="R683" s="143"/>
      <c r="AF683" s="141"/>
      <c r="AM683" s="141"/>
      <c r="BC683" s="142"/>
    </row>
    <row r="684" ht="14.25" customHeight="1">
      <c r="R684" s="143"/>
      <c r="AF684" s="141"/>
      <c r="AM684" s="141"/>
      <c r="BC684" s="142"/>
    </row>
    <row r="685" ht="14.25" customHeight="1">
      <c r="R685" s="143"/>
      <c r="AF685" s="141"/>
      <c r="AM685" s="141"/>
      <c r="BC685" s="142"/>
    </row>
    <row r="686" ht="14.25" customHeight="1">
      <c r="R686" s="143"/>
      <c r="AF686" s="141"/>
      <c r="AM686" s="141"/>
      <c r="BC686" s="142"/>
    </row>
    <row r="687" ht="14.25" customHeight="1">
      <c r="R687" s="143"/>
      <c r="AF687" s="141"/>
      <c r="AM687" s="141"/>
      <c r="BC687" s="142"/>
    </row>
    <row r="688" ht="14.25" customHeight="1">
      <c r="R688" s="143"/>
      <c r="AF688" s="141"/>
      <c r="AM688" s="141"/>
      <c r="BC688" s="142"/>
    </row>
    <row r="689" ht="14.25" customHeight="1">
      <c r="R689" s="143"/>
      <c r="AF689" s="141"/>
      <c r="AM689" s="141"/>
      <c r="BC689" s="142"/>
    </row>
    <row r="690" ht="14.25" customHeight="1">
      <c r="R690" s="143"/>
      <c r="AF690" s="141"/>
      <c r="AM690" s="141"/>
      <c r="BC690" s="142"/>
    </row>
    <row r="691" ht="14.25" customHeight="1">
      <c r="R691" s="143"/>
      <c r="AF691" s="141"/>
      <c r="AM691" s="141"/>
      <c r="BC691" s="142"/>
    </row>
    <row r="692" ht="14.25" customHeight="1">
      <c r="R692" s="143"/>
      <c r="AF692" s="141"/>
      <c r="AM692" s="141"/>
      <c r="BC692" s="142"/>
    </row>
    <row r="693" ht="14.25" customHeight="1">
      <c r="R693" s="143"/>
      <c r="AF693" s="141"/>
      <c r="AM693" s="141"/>
      <c r="BC693" s="142"/>
    </row>
    <row r="694" ht="14.25" customHeight="1">
      <c r="R694" s="143"/>
      <c r="AF694" s="141"/>
      <c r="AM694" s="141"/>
      <c r="BC694" s="142"/>
    </row>
    <row r="695" ht="14.25" customHeight="1">
      <c r="R695" s="143"/>
      <c r="AF695" s="141"/>
      <c r="AM695" s="141"/>
      <c r="BC695" s="142"/>
    </row>
    <row r="696" ht="14.25" customHeight="1">
      <c r="R696" s="143"/>
      <c r="AF696" s="141"/>
      <c r="AM696" s="141"/>
      <c r="BC696" s="142"/>
    </row>
    <row r="697" ht="14.25" customHeight="1">
      <c r="R697" s="143"/>
      <c r="AF697" s="141"/>
      <c r="AM697" s="141"/>
      <c r="BC697" s="142"/>
    </row>
    <row r="698" ht="14.25" customHeight="1">
      <c r="R698" s="143"/>
      <c r="AF698" s="141"/>
      <c r="AM698" s="141"/>
      <c r="BC698" s="142"/>
    </row>
    <row r="699" ht="14.25" customHeight="1">
      <c r="R699" s="143"/>
      <c r="AF699" s="141"/>
      <c r="AM699" s="141"/>
      <c r="BC699" s="142"/>
    </row>
    <row r="700" ht="14.25" customHeight="1">
      <c r="R700" s="143"/>
      <c r="AF700" s="141"/>
      <c r="AM700" s="141"/>
      <c r="BC700" s="142"/>
    </row>
    <row r="701" ht="14.25" customHeight="1">
      <c r="R701" s="143"/>
      <c r="AF701" s="141"/>
      <c r="AM701" s="141"/>
      <c r="BC701" s="142"/>
    </row>
    <row r="702" ht="14.25" customHeight="1">
      <c r="R702" s="143"/>
      <c r="AF702" s="141"/>
      <c r="AM702" s="141"/>
      <c r="BC702" s="142"/>
    </row>
    <row r="703" ht="14.25" customHeight="1">
      <c r="R703" s="143"/>
      <c r="AF703" s="141"/>
      <c r="AM703" s="141"/>
      <c r="BC703" s="142"/>
    </row>
    <row r="704" ht="14.25" customHeight="1">
      <c r="R704" s="143"/>
      <c r="AF704" s="141"/>
      <c r="AM704" s="141"/>
      <c r="BC704" s="142"/>
    </row>
    <row r="705" ht="14.25" customHeight="1">
      <c r="R705" s="143"/>
      <c r="AF705" s="141"/>
      <c r="AM705" s="141"/>
      <c r="BC705" s="142"/>
    </row>
    <row r="706" ht="14.25" customHeight="1">
      <c r="R706" s="143"/>
      <c r="AF706" s="141"/>
      <c r="AM706" s="141"/>
      <c r="BC706" s="142"/>
    </row>
    <row r="707" ht="14.25" customHeight="1">
      <c r="R707" s="143"/>
      <c r="AF707" s="141"/>
      <c r="AM707" s="141"/>
      <c r="BC707" s="142"/>
    </row>
    <row r="708" ht="14.25" customHeight="1">
      <c r="R708" s="143"/>
      <c r="AF708" s="141"/>
      <c r="AM708" s="141"/>
      <c r="BC708" s="142"/>
    </row>
    <row r="709" ht="14.25" customHeight="1">
      <c r="R709" s="143"/>
      <c r="AF709" s="141"/>
      <c r="AM709" s="141"/>
      <c r="BC709" s="142"/>
    </row>
    <row r="710" ht="14.25" customHeight="1">
      <c r="R710" s="143"/>
      <c r="AF710" s="141"/>
      <c r="AM710" s="141"/>
      <c r="BC710" s="142"/>
    </row>
    <row r="711" ht="14.25" customHeight="1">
      <c r="R711" s="143"/>
      <c r="AF711" s="141"/>
      <c r="AM711" s="141"/>
      <c r="BC711" s="142"/>
    </row>
    <row r="712" ht="14.25" customHeight="1">
      <c r="R712" s="143"/>
      <c r="AF712" s="141"/>
      <c r="AM712" s="141"/>
      <c r="BC712" s="142"/>
    </row>
    <row r="713" ht="14.25" customHeight="1">
      <c r="R713" s="143"/>
      <c r="AF713" s="141"/>
      <c r="AM713" s="141"/>
      <c r="BC713" s="142"/>
    </row>
    <row r="714" ht="14.25" customHeight="1">
      <c r="R714" s="143"/>
      <c r="AF714" s="141"/>
      <c r="AM714" s="141"/>
      <c r="BC714" s="142"/>
    </row>
    <row r="715" ht="14.25" customHeight="1">
      <c r="R715" s="143"/>
      <c r="AF715" s="141"/>
      <c r="AM715" s="141"/>
      <c r="BC715" s="142"/>
    </row>
    <row r="716" ht="14.25" customHeight="1">
      <c r="R716" s="143"/>
      <c r="AF716" s="141"/>
      <c r="AM716" s="141"/>
      <c r="BC716" s="142"/>
    </row>
    <row r="717" ht="14.25" customHeight="1">
      <c r="R717" s="143"/>
      <c r="AF717" s="141"/>
      <c r="AM717" s="141"/>
      <c r="BC717" s="142"/>
    </row>
    <row r="718" ht="14.25" customHeight="1">
      <c r="R718" s="143"/>
      <c r="AF718" s="141"/>
      <c r="AM718" s="141"/>
      <c r="BC718" s="142"/>
    </row>
    <row r="719" ht="14.25" customHeight="1">
      <c r="R719" s="143"/>
      <c r="AF719" s="141"/>
      <c r="AM719" s="141"/>
      <c r="BC719" s="142"/>
    </row>
    <row r="720" ht="14.25" customHeight="1">
      <c r="R720" s="143"/>
      <c r="AF720" s="141"/>
      <c r="AM720" s="141"/>
      <c r="BC720" s="142"/>
    </row>
    <row r="721" ht="14.25" customHeight="1">
      <c r="R721" s="143"/>
      <c r="AF721" s="141"/>
      <c r="AM721" s="141"/>
      <c r="BC721" s="142"/>
    </row>
    <row r="722" ht="14.25" customHeight="1">
      <c r="R722" s="143"/>
      <c r="AF722" s="141"/>
      <c r="AM722" s="141"/>
      <c r="BC722" s="142"/>
    </row>
    <row r="723" ht="14.25" customHeight="1">
      <c r="R723" s="143"/>
      <c r="AF723" s="141"/>
      <c r="AM723" s="141"/>
      <c r="BC723" s="142"/>
    </row>
    <row r="724" ht="14.25" customHeight="1">
      <c r="R724" s="143"/>
      <c r="AF724" s="141"/>
      <c r="AM724" s="141"/>
      <c r="BC724" s="142"/>
    </row>
    <row r="725" ht="14.25" customHeight="1">
      <c r="R725" s="143"/>
      <c r="AF725" s="141"/>
      <c r="AM725" s="141"/>
      <c r="BC725" s="142"/>
    </row>
    <row r="726" ht="14.25" customHeight="1">
      <c r="R726" s="143"/>
      <c r="AF726" s="141"/>
      <c r="AM726" s="141"/>
      <c r="BC726" s="142"/>
    </row>
    <row r="727" ht="14.25" customHeight="1">
      <c r="R727" s="143"/>
      <c r="AF727" s="141"/>
      <c r="AM727" s="141"/>
      <c r="BC727" s="142"/>
    </row>
    <row r="728" ht="14.25" customHeight="1">
      <c r="R728" s="143"/>
      <c r="AF728" s="141"/>
      <c r="AM728" s="141"/>
      <c r="BC728" s="142"/>
    </row>
    <row r="729" ht="14.25" customHeight="1">
      <c r="R729" s="143"/>
      <c r="AF729" s="141"/>
      <c r="AM729" s="141"/>
      <c r="BC729" s="142"/>
    </row>
    <row r="730" ht="14.25" customHeight="1">
      <c r="R730" s="143"/>
      <c r="AF730" s="141"/>
      <c r="AM730" s="141"/>
      <c r="BC730" s="142"/>
    </row>
    <row r="731" ht="14.25" customHeight="1">
      <c r="R731" s="143"/>
      <c r="AF731" s="141"/>
      <c r="AM731" s="141"/>
      <c r="BC731" s="142"/>
    </row>
    <row r="732" ht="14.25" customHeight="1">
      <c r="R732" s="143"/>
      <c r="AF732" s="141"/>
      <c r="AM732" s="141"/>
      <c r="BC732" s="142"/>
    </row>
    <row r="733" ht="14.25" customHeight="1">
      <c r="R733" s="143"/>
      <c r="AF733" s="141"/>
      <c r="AM733" s="141"/>
      <c r="BC733" s="142"/>
    </row>
    <row r="734" ht="14.25" customHeight="1">
      <c r="R734" s="143"/>
      <c r="AF734" s="141"/>
      <c r="AM734" s="141"/>
      <c r="BC734" s="142"/>
    </row>
    <row r="735" ht="14.25" customHeight="1">
      <c r="R735" s="143"/>
      <c r="AF735" s="141"/>
      <c r="AM735" s="141"/>
      <c r="BC735" s="142"/>
    </row>
    <row r="736" ht="14.25" customHeight="1">
      <c r="R736" s="143"/>
      <c r="AF736" s="141"/>
      <c r="AM736" s="141"/>
      <c r="BC736" s="142"/>
    </row>
    <row r="737" ht="14.25" customHeight="1">
      <c r="R737" s="143"/>
      <c r="AF737" s="141"/>
      <c r="AM737" s="141"/>
      <c r="BC737" s="142"/>
    </row>
    <row r="738" ht="14.25" customHeight="1">
      <c r="R738" s="143"/>
      <c r="AF738" s="141"/>
      <c r="AM738" s="141"/>
      <c r="BC738" s="142"/>
    </row>
    <row r="739" ht="14.25" customHeight="1">
      <c r="R739" s="143"/>
      <c r="AF739" s="141"/>
      <c r="AM739" s="141"/>
      <c r="BC739" s="142"/>
    </row>
    <row r="740" ht="14.25" customHeight="1">
      <c r="R740" s="143"/>
      <c r="AF740" s="141"/>
      <c r="AM740" s="141"/>
      <c r="BC740" s="142"/>
    </row>
    <row r="741" ht="14.25" customHeight="1">
      <c r="R741" s="143"/>
      <c r="AF741" s="141"/>
      <c r="AM741" s="141"/>
      <c r="BC741" s="142"/>
    </row>
    <row r="742" ht="14.25" customHeight="1">
      <c r="R742" s="143"/>
      <c r="AF742" s="141"/>
      <c r="AM742" s="141"/>
      <c r="BC742" s="142"/>
    </row>
    <row r="743" ht="14.25" customHeight="1">
      <c r="R743" s="143"/>
      <c r="AF743" s="141"/>
      <c r="AM743" s="141"/>
      <c r="BC743" s="142"/>
    </row>
    <row r="744" ht="14.25" customHeight="1">
      <c r="R744" s="143"/>
      <c r="AF744" s="141"/>
      <c r="AM744" s="141"/>
      <c r="BC744" s="142"/>
    </row>
    <row r="745" ht="14.25" customHeight="1">
      <c r="R745" s="143"/>
      <c r="AF745" s="141"/>
      <c r="AM745" s="141"/>
      <c r="BC745" s="142"/>
    </row>
    <row r="746" ht="14.25" customHeight="1">
      <c r="R746" s="143"/>
      <c r="AF746" s="141"/>
      <c r="AM746" s="141"/>
      <c r="BC746" s="142"/>
    </row>
    <row r="747" ht="14.25" customHeight="1">
      <c r="R747" s="143"/>
      <c r="AF747" s="141"/>
      <c r="AM747" s="141"/>
      <c r="BC747" s="142"/>
    </row>
    <row r="748" ht="14.25" customHeight="1">
      <c r="R748" s="143"/>
      <c r="AF748" s="141"/>
      <c r="AM748" s="141"/>
      <c r="BC748" s="142"/>
    </row>
    <row r="749" ht="14.25" customHeight="1">
      <c r="R749" s="143"/>
      <c r="AF749" s="141"/>
      <c r="AM749" s="141"/>
      <c r="BC749" s="142"/>
    </row>
    <row r="750" ht="14.25" customHeight="1">
      <c r="R750" s="143"/>
      <c r="AF750" s="141"/>
      <c r="AM750" s="141"/>
      <c r="BC750" s="142"/>
    </row>
    <row r="751" ht="14.25" customHeight="1">
      <c r="R751" s="143"/>
      <c r="AF751" s="141"/>
      <c r="AM751" s="141"/>
      <c r="BC751" s="142"/>
    </row>
    <row r="752" ht="14.25" customHeight="1">
      <c r="R752" s="143"/>
      <c r="AF752" s="141"/>
      <c r="AM752" s="141"/>
      <c r="BC752" s="142"/>
    </row>
    <row r="753" ht="14.25" customHeight="1">
      <c r="R753" s="143"/>
      <c r="AF753" s="141"/>
      <c r="AM753" s="141"/>
      <c r="BC753" s="142"/>
    </row>
    <row r="754" ht="14.25" customHeight="1">
      <c r="R754" s="143"/>
      <c r="AF754" s="141"/>
      <c r="AM754" s="141"/>
      <c r="BC754" s="142"/>
    </row>
    <row r="755" ht="14.25" customHeight="1">
      <c r="R755" s="143"/>
      <c r="AF755" s="141"/>
      <c r="AM755" s="141"/>
      <c r="BC755" s="142"/>
    </row>
    <row r="756" ht="14.25" customHeight="1">
      <c r="R756" s="143"/>
      <c r="AF756" s="141"/>
      <c r="AM756" s="141"/>
      <c r="BC756" s="142"/>
    </row>
    <row r="757" ht="14.25" customHeight="1">
      <c r="R757" s="143"/>
      <c r="AF757" s="141"/>
      <c r="AM757" s="141"/>
      <c r="BC757" s="142"/>
    </row>
    <row r="758" ht="14.25" customHeight="1">
      <c r="R758" s="143"/>
      <c r="AF758" s="141"/>
      <c r="AM758" s="141"/>
      <c r="BC758" s="142"/>
    </row>
    <row r="759" ht="14.25" customHeight="1">
      <c r="R759" s="143"/>
      <c r="AF759" s="141"/>
      <c r="AM759" s="141"/>
      <c r="BC759" s="142"/>
    </row>
    <row r="760" ht="14.25" customHeight="1">
      <c r="R760" s="143"/>
      <c r="AF760" s="141"/>
      <c r="AM760" s="141"/>
      <c r="BC760" s="142"/>
    </row>
    <row r="761" ht="14.25" customHeight="1">
      <c r="R761" s="143"/>
      <c r="AF761" s="141"/>
      <c r="AM761" s="141"/>
      <c r="BC761" s="142"/>
    </row>
    <row r="762" ht="14.25" customHeight="1">
      <c r="R762" s="143"/>
      <c r="AF762" s="141"/>
      <c r="AM762" s="141"/>
      <c r="BC762" s="142"/>
    </row>
    <row r="763" ht="14.25" customHeight="1">
      <c r="R763" s="143"/>
      <c r="AF763" s="141"/>
      <c r="AM763" s="141"/>
      <c r="BC763" s="142"/>
    </row>
    <row r="764" ht="14.25" customHeight="1">
      <c r="R764" s="143"/>
      <c r="AF764" s="141"/>
      <c r="AM764" s="141"/>
      <c r="BC764" s="142"/>
    </row>
    <row r="765" ht="14.25" customHeight="1">
      <c r="R765" s="143"/>
      <c r="AF765" s="141"/>
      <c r="AM765" s="141"/>
      <c r="BC765" s="142"/>
    </row>
    <row r="766" ht="14.25" customHeight="1">
      <c r="R766" s="143"/>
      <c r="AF766" s="141"/>
      <c r="AM766" s="141"/>
      <c r="BC766" s="142"/>
    </row>
    <row r="767" ht="14.25" customHeight="1">
      <c r="R767" s="143"/>
      <c r="AF767" s="141"/>
      <c r="AM767" s="141"/>
      <c r="BC767" s="142"/>
    </row>
    <row r="768" ht="14.25" customHeight="1">
      <c r="R768" s="143"/>
      <c r="AF768" s="141"/>
      <c r="AM768" s="141"/>
      <c r="BC768" s="142"/>
    </row>
    <row r="769" ht="14.25" customHeight="1">
      <c r="R769" s="143"/>
      <c r="AF769" s="141"/>
      <c r="AM769" s="141"/>
      <c r="BC769" s="142"/>
    </row>
    <row r="770" ht="14.25" customHeight="1">
      <c r="R770" s="143"/>
      <c r="AF770" s="141"/>
      <c r="AM770" s="141"/>
      <c r="BC770" s="142"/>
    </row>
    <row r="771" ht="14.25" customHeight="1">
      <c r="R771" s="143"/>
      <c r="AF771" s="141"/>
      <c r="AM771" s="141"/>
      <c r="BC771" s="142"/>
    </row>
    <row r="772" ht="14.25" customHeight="1">
      <c r="R772" s="143"/>
      <c r="AF772" s="141"/>
      <c r="AM772" s="141"/>
      <c r="BC772" s="142"/>
    </row>
    <row r="773" ht="14.25" customHeight="1">
      <c r="R773" s="143"/>
      <c r="AF773" s="141"/>
      <c r="AM773" s="141"/>
      <c r="BC773" s="142"/>
    </row>
    <row r="774" ht="14.25" customHeight="1">
      <c r="R774" s="143"/>
      <c r="AF774" s="141"/>
      <c r="AM774" s="141"/>
      <c r="BC774" s="142"/>
    </row>
    <row r="775" ht="14.25" customHeight="1">
      <c r="R775" s="143"/>
      <c r="AF775" s="141"/>
      <c r="AM775" s="141"/>
      <c r="BC775" s="142"/>
    </row>
    <row r="776" ht="14.25" customHeight="1">
      <c r="R776" s="143"/>
      <c r="AF776" s="141"/>
      <c r="AM776" s="141"/>
      <c r="BC776" s="142"/>
    </row>
    <row r="777" ht="14.25" customHeight="1">
      <c r="R777" s="143"/>
      <c r="AF777" s="141"/>
      <c r="AM777" s="141"/>
      <c r="BC777" s="142"/>
    </row>
    <row r="778" ht="14.25" customHeight="1">
      <c r="R778" s="143"/>
      <c r="AF778" s="141"/>
      <c r="AM778" s="141"/>
      <c r="BC778" s="142"/>
    </row>
    <row r="779" ht="14.25" customHeight="1">
      <c r="R779" s="143"/>
      <c r="AF779" s="141"/>
      <c r="AM779" s="141"/>
      <c r="BC779" s="142"/>
    </row>
    <row r="780" ht="14.25" customHeight="1">
      <c r="R780" s="143"/>
      <c r="AF780" s="141"/>
      <c r="AM780" s="141"/>
      <c r="BC780" s="142"/>
    </row>
    <row r="781" ht="14.25" customHeight="1">
      <c r="R781" s="143"/>
      <c r="AF781" s="141"/>
      <c r="AM781" s="141"/>
      <c r="BC781" s="142"/>
    </row>
    <row r="782" ht="14.25" customHeight="1">
      <c r="R782" s="143"/>
      <c r="AF782" s="141"/>
      <c r="AM782" s="141"/>
      <c r="BC782" s="142"/>
    </row>
    <row r="783" ht="14.25" customHeight="1">
      <c r="R783" s="143"/>
      <c r="AF783" s="141"/>
      <c r="AM783" s="141"/>
      <c r="BC783" s="142"/>
    </row>
    <row r="784" ht="14.25" customHeight="1">
      <c r="R784" s="143"/>
      <c r="AF784" s="141"/>
      <c r="AM784" s="141"/>
      <c r="BC784" s="142"/>
    </row>
    <row r="785" ht="14.25" customHeight="1">
      <c r="R785" s="143"/>
      <c r="AF785" s="141"/>
      <c r="AM785" s="141"/>
      <c r="BC785" s="142"/>
    </row>
    <row r="786" ht="14.25" customHeight="1">
      <c r="R786" s="143"/>
      <c r="AF786" s="141"/>
      <c r="AM786" s="141"/>
      <c r="BC786" s="142"/>
    </row>
    <row r="787" ht="14.25" customHeight="1">
      <c r="R787" s="143"/>
      <c r="AF787" s="141"/>
      <c r="AM787" s="141"/>
      <c r="BC787" s="142"/>
    </row>
    <row r="788" ht="14.25" customHeight="1">
      <c r="R788" s="143"/>
      <c r="AF788" s="141"/>
      <c r="AM788" s="141"/>
      <c r="BC788" s="142"/>
    </row>
    <row r="789" ht="14.25" customHeight="1">
      <c r="R789" s="143"/>
      <c r="AF789" s="141"/>
      <c r="AM789" s="141"/>
      <c r="BC789" s="142"/>
    </row>
    <row r="790" ht="14.25" customHeight="1">
      <c r="R790" s="143"/>
      <c r="AF790" s="141"/>
      <c r="AM790" s="141"/>
      <c r="BC790" s="142"/>
    </row>
    <row r="791" ht="14.25" customHeight="1">
      <c r="R791" s="143"/>
      <c r="AF791" s="141"/>
      <c r="AM791" s="141"/>
      <c r="BC791" s="142"/>
    </row>
    <row r="792" ht="14.25" customHeight="1">
      <c r="R792" s="143"/>
      <c r="AF792" s="141"/>
      <c r="AM792" s="141"/>
      <c r="BC792" s="142"/>
    </row>
    <row r="793" ht="14.25" customHeight="1">
      <c r="R793" s="143"/>
      <c r="AF793" s="141"/>
      <c r="AM793" s="141"/>
      <c r="BC793" s="142"/>
    </row>
    <row r="794" ht="14.25" customHeight="1">
      <c r="R794" s="143"/>
      <c r="AF794" s="141"/>
      <c r="AM794" s="141"/>
      <c r="BC794" s="142"/>
    </row>
    <row r="795" ht="14.25" customHeight="1">
      <c r="R795" s="143"/>
      <c r="AF795" s="141"/>
      <c r="AM795" s="141"/>
      <c r="BC795" s="142"/>
    </row>
    <row r="796" ht="14.25" customHeight="1">
      <c r="R796" s="143"/>
      <c r="AF796" s="141"/>
      <c r="AM796" s="141"/>
      <c r="BC796" s="142"/>
    </row>
    <row r="797" ht="14.25" customHeight="1">
      <c r="R797" s="143"/>
      <c r="AF797" s="141"/>
      <c r="AM797" s="141"/>
      <c r="BC797" s="142"/>
    </row>
    <row r="798" ht="14.25" customHeight="1">
      <c r="R798" s="143"/>
      <c r="AF798" s="141"/>
      <c r="AM798" s="141"/>
      <c r="BC798" s="142"/>
    </row>
    <row r="799" ht="14.25" customHeight="1">
      <c r="R799" s="143"/>
      <c r="AF799" s="141"/>
      <c r="AM799" s="141"/>
      <c r="BC799" s="142"/>
    </row>
    <row r="800" ht="14.25" customHeight="1">
      <c r="R800" s="143"/>
      <c r="AF800" s="141"/>
      <c r="AM800" s="141"/>
      <c r="BC800" s="142"/>
    </row>
    <row r="801" ht="14.25" customHeight="1">
      <c r="R801" s="143"/>
      <c r="AF801" s="141"/>
      <c r="AM801" s="141"/>
      <c r="BC801" s="142"/>
    </row>
    <row r="802" ht="14.25" customHeight="1">
      <c r="R802" s="143"/>
      <c r="AF802" s="141"/>
      <c r="AM802" s="141"/>
      <c r="BC802" s="142"/>
    </row>
    <row r="803" ht="14.25" customHeight="1">
      <c r="R803" s="143"/>
      <c r="AF803" s="141"/>
      <c r="AM803" s="141"/>
      <c r="BC803" s="142"/>
    </row>
    <row r="804" ht="14.25" customHeight="1">
      <c r="R804" s="143"/>
      <c r="AF804" s="141"/>
      <c r="AM804" s="141"/>
      <c r="BC804" s="142"/>
    </row>
    <row r="805" ht="14.25" customHeight="1">
      <c r="R805" s="143"/>
      <c r="AF805" s="141"/>
      <c r="AM805" s="141"/>
      <c r="BC805" s="142"/>
    </row>
    <row r="806" ht="14.25" customHeight="1">
      <c r="R806" s="143"/>
      <c r="AF806" s="141"/>
      <c r="AM806" s="141"/>
      <c r="BC806" s="142"/>
    </row>
    <row r="807" ht="14.25" customHeight="1">
      <c r="R807" s="143"/>
      <c r="AF807" s="141"/>
      <c r="AM807" s="141"/>
      <c r="BC807" s="142"/>
    </row>
    <row r="808" ht="14.25" customHeight="1">
      <c r="R808" s="143"/>
      <c r="AF808" s="141"/>
      <c r="AM808" s="141"/>
      <c r="BC808" s="142"/>
    </row>
    <row r="809" ht="14.25" customHeight="1">
      <c r="R809" s="143"/>
      <c r="AF809" s="141"/>
      <c r="AM809" s="141"/>
      <c r="BC809" s="142"/>
    </row>
    <row r="810" ht="14.25" customHeight="1">
      <c r="R810" s="143"/>
      <c r="AF810" s="141"/>
      <c r="AM810" s="141"/>
      <c r="BC810" s="142"/>
    </row>
    <row r="811" ht="14.25" customHeight="1">
      <c r="R811" s="143"/>
      <c r="AF811" s="141"/>
      <c r="AM811" s="141"/>
      <c r="BC811" s="142"/>
    </row>
    <row r="812" ht="14.25" customHeight="1">
      <c r="R812" s="143"/>
      <c r="AF812" s="141"/>
      <c r="AM812" s="141"/>
      <c r="BC812" s="142"/>
    </row>
    <row r="813" ht="14.25" customHeight="1">
      <c r="R813" s="143"/>
      <c r="AF813" s="141"/>
      <c r="AM813" s="141"/>
      <c r="BC813" s="142"/>
    </row>
    <row r="814" ht="14.25" customHeight="1">
      <c r="R814" s="143"/>
      <c r="AF814" s="141"/>
      <c r="AM814" s="141"/>
      <c r="BC814" s="142"/>
    </row>
    <row r="815" ht="14.25" customHeight="1">
      <c r="R815" s="143"/>
      <c r="AF815" s="141"/>
      <c r="AM815" s="141"/>
      <c r="BC815" s="142"/>
    </row>
    <row r="816" ht="14.25" customHeight="1">
      <c r="R816" s="143"/>
      <c r="AF816" s="141"/>
      <c r="AM816" s="141"/>
      <c r="BC816" s="142"/>
    </row>
    <row r="817" ht="14.25" customHeight="1">
      <c r="R817" s="143"/>
      <c r="AF817" s="141"/>
      <c r="AM817" s="141"/>
      <c r="BC817" s="142"/>
    </row>
    <row r="818" ht="14.25" customHeight="1">
      <c r="R818" s="143"/>
      <c r="AF818" s="141"/>
      <c r="AM818" s="141"/>
      <c r="BC818" s="142"/>
    </row>
    <row r="819" ht="14.25" customHeight="1">
      <c r="R819" s="143"/>
      <c r="AF819" s="141"/>
      <c r="AM819" s="141"/>
      <c r="BC819" s="142"/>
    </row>
    <row r="820" ht="14.25" customHeight="1">
      <c r="R820" s="143"/>
      <c r="AF820" s="141"/>
      <c r="AM820" s="141"/>
      <c r="BC820" s="142"/>
    </row>
    <row r="821" ht="14.25" customHeight="1">
      <c r="R821" s="143"/>
      <c r="AF821" s="141"/>
      <c r="AM821" s="141"/>
      <c r="BC821" s="142"/>
    </row>
    <row r="822" ht="14.25" customHeight="1">
      <c r="R822" s="143"/>
      <c r="AF822" s="141"/>
      <c r="AM822" s="141"/>
      <c r="BC822" s="142"/>
    </row>
    <row r="823" ht="14.25" customHeight="1">
      <c r="R823" s="143"/>
      <c r="AF823" s="141"/>
      <c r="AM823" s="141"/>
      <c r="BC823" s="142"/>
    </row>
    <row r="824" ht="14.25" customHeight="1">
      <c r="R824" s="143"/>
      <c r="AF824" s="141"/>
      <c r="AM824" s="141"/>
      <c r="BC824" s="142"/>
    </row>
    <row r="825" ht="14.25" customHeight="1">
      <c r="R825" s="143"/>
      <c r="AF825" s="141"/>
      <c r="AM825" s="141"/>
      <c r="BC825" s="142"/>
    </row>
    <row r="826" ht="14.25" customHeight="1">
      <c r="R826" s="143"/>
      <c r="AF826" s="141"/>
      <c r="AM826" s="141"/>
      <c r="BC826" s="142"/>
    </row>
    <row r="827" ht="14.25" customHeight="1">
      <c r="R827" s="143"/>
      <c r="AF827" s="141"/>
      <c r="AM827" s="141"/>
      <c r="BC827" s="142"/>
    </row>
    <row r="828" ht="14.25" customHeight="1">
      <c r="R828" s="143"/>
      <c r="AF828" s="141"/>
      <c r="AM828" s="141"/>
      <c r="BC828" s="142"/>
    </row>
    <row r="829" ht="14.25" customHeight="1">
      <c r="R829" s="143"/>
      <c r="AF829" s="141"/>
      <c r="AM829" s="141"/>
      <c r="BC829" s="142"/>
    </row>
    <row r="830" ht="14.25" customHeight="1">
      <c r="R830" s="143"/>
      <c r="AF830" s="141"/>
      <c r="AM830" s="141"/>
      <c r="BC830" s="142"/>
    </row>
    <row r="831" ht="14.25" customHeight="1">
      <c r="R831" s="143"/>
      <c r="AF831" s="141"/>
      <c r="AM831" s="141"/>
      <c r="BC831" s="142"/>
    </row>
    <row r="832" ht="14.25" customHeight="1">
      <c r="R832" s="143"/>
      <c r="AF832" s="141"/>
      <c r="AM832" s="141"/>
      <c r="BC832" s="142"/>
    </row>
    <row r="833" ht="14.25" customHeight="1">
      <c r="R833" s="143"/>
      <c r="AF833" s="141"/>
      <c r="AM833" s="141"/>
      <c r="BC833" s="142"/>
    </row>
    <row r="834" ht="14.25" customHeight="1">
      <c r="R834" s="143"/>
      <c r="AF834" s="141"/>
      <c r="AM834" s="141"/>
      <c r="BC834" s="142"/>
    </row>
    <row r="835" ht="14.25" customHeight="1">
      <c r="R835" s="143"/>
      <c r="AF835" s="141"/>
      <c r="AM835" s="141"/>
      <c r="BC835" s="142"/>
    </row>
    <row r="836" ht="14.25" customHeight="1">
      <c r="R836" s="143"/>
      <c r="AF836" s="141"/>
      <c r="AM836" s="141"/>
      <c r="BC836" s="142"/>
    </row>
    <row r="837" ht="14.25" customHeight="1">
      <c r="R837" s="143"/>
      <c r="AF837" s="141"/>
      <c r="AM837" s="141"/>
      <c r="BC837" s="142"/>
    </row>
    <row r="838" ht="14.25" customHeight="1">
      <c r="R838" s="143"/>
      <c r="AF838" s="141"/>
      <c r="AM838" s="141"/>
      <c r="BC838" s="142"/>
    </row>
    <row r="839" ht="14.25" customHeight="1">
      <c r="R839" s="143"/>
      <c r="AF839" s="141"/>
      <c r="AM839" s="141"/>
      <c r="BC839" s="142"/>
    </row>
    <row r="840" ht="14.25" customHeight="1">
      <c r="R840" s="143"/>
      <c r="AF840" s="141"/>
      <c r="AM840" s="141"/>
      <c r="BC840" s="142"/>
    </row>
    <row r="841" ht="14.25" customHeight="1">
      <c r="R841" s="143"/>
      <c r="AF841" s="141"/>
      <c r="AM841" s="141"/>
      <c r="BC841" s="142"/>
    </row>
    <row r="842" ht="14.25" customHeight="1">
      <c r="R842" s="143"/>
      <c r="AF842" s="141"/>
      <c r="AM842" s="141"/>
      <c r="BC842" s="142"/>
    </row>
    <row r="843" ht="14.25" customHeight="1">
      <c r="R843" s="143"/>
      <c r="AF843" s="141"/>
      <c r="AM843" s="141"/>
      <c r="BC843" s="142"/>
    </row>
    <row r="844" ht="14.25" customHeight="1">
      <c r="R844" s="143"/>
      <c r="AF844" s="141"/>
      <c r="AM844" s="141"/>
      <c r="BC844" s="142"/>
    </row>
    <row r="845" ht="14.25" customHeight="1">
      <c r="R845" s="143"/>
      <c r="AF845" s="141"/>
      <c r="AM845" s="141"/>
      <c r="BC845" s="142"/>
    </row>
    <row r="846" ht="14.25" customHeight="1">
      <c r="R846" s="143"/>
      <c r="AF846" s="141"/>
      <c r="AM846" s="141"/>
      <c r="BC846" s="142"/>
    </row>
    <row r="847" ht="14.25" customHeight="1">
      <c r="R847" s="143"/>
      <c r="AF847" s="141"/>
      <c r="AM847" s="141"/>
      <c r="BC847" s="142"/>
    </row>
    <row r="848" ht="14.25" customHeight="1">
      <c r="R848" s="143"/>
      <c r="AF848" s="141"/>
      <c r="AM848" s="141"/>
      <c r="BC848" s="142"/>
    </row>
    <row r="849" ht="14.25" customHeight="1">
      <c r="R849" s="143"/>
      <c r="AF849" s="141"/>
      <c r="AM849" s="141"/>
      <c r="BC849" s="142"/>
    </row>
    <row r="850" ht="14.25" customHeight="1">
      <c r="R850" s="143"/>
      <c r="AF850" s="141"/>
      <c r="AM850" s="141"/>
      <c r="BC850" s="142"/>
    </row>
    <row r="851" ht="14.25" customHeight="1">
      <c r="R851" s="143"/>
      <c r="AF851" s="141"/>
      <c r="AM851" s="141"/>
      <c r="BC851" s="142"/>
    </row>
    <row r="852" ht="14.25" customHeight="1">
      <c r="R852" s="143"/>
      <c r="AF852" s="141"/>
      <c r="AM852" s="141"/>
      <c r="BC852" s="142"/>
    </row>
    <row r="853" ht="14.25" customHeight="1">
      <c r="R853" s="143"/>
      <c r="AF853" s="141"/>
      <c r="AM853" s="141"/>
      <c r="BC853" s="142"/>
    </row>
    <row r="854" ht="14.25" customHeight="1">
      <c r="R854" s="143"/>
      <c r="AF854" s="141"/>
      <c r="AM854" s="141"/>
      <c r="BC854" s="142"/>
    </row>
    <row r="855" ht="14.25" customHeight="1">
      <c r="R855" s="143"/>
      <c r="AF855" s="141"/>
      <c r="AM855" s="141"/>
      <c r="BC855" s="142"/>
    </row>
    <row r="856" ht="14.25" customHeight="1">
      <c r="R856" s="143"/>
      <c r="AF856" s="141"/>
      <c r="AM856" s="141"/>
      <c r="BC856" s="142"/>
    </row>
    <row r="857" ht="14.25" customHeight="1">
      <c r="R857" s="143"/>
      <c r="AF857" s="141"/>
      <c r="AM857" s="141"/>
      <c r="BC857" s="142"/>
    </row>
    <row r="858" ht="14.25" customHeight="1">
      <c r="R858" s="143"/>
      <c r="AF858" s="141"/>
      <c r="AM858" s="141"/>
      <c r="BC858" s="142"/>
    </row>
    <row r="859" ht="14.25" customHeight="1">
      <c r="R859" s="143"/>
      <c r="AF859" s="141"/>
      <c r="AM859" s="141"/>
      <c r="BC859" s="142"/>
    </row>
    <row r="860" ht="14.25" customHeight="1">
      <c r="R860" s="143"/>
      <c r="AF860" s="141"/>
      <c r="AM860" s="141"/>
      <c r="BC860" s="142"/>
    </row>
    <row r="861" ht="14.25" customHeight="1">
      <c r="R861" s="143"/>
      <c r="AF861" s="141"/>
      <c r="AM861" s="141"/>
      <c r="BC861" s="142"/>
    </row>
    <row r="862" ht="14.25" customHeight="1">
      <c r="R862" s="143"/>
      <c r="AF862" s="141"/>
      <c r="AM862" s="141"/>
      <c r="BC862" s="142"/>
    </row>
    <row r="863" ht="14.25" customHeight="1">
      <c r="R863" s="143"/>
      <c r="AF863" s="141"/>
      <c r="AM863" s="141"/>
      <c r="BC863" s="142"/>
    </row>
    <row r="864" ht="14.25" customHeight="1">
      <c r="R864" s="143"/>
      <c r="AF864" s="141"/>
      <c r="AM864" s="141"/>
      <c r="BC864" s="142"/>
    </row>
    <row r="865" ht="14.25" customHeight="1">
      <c r="R865" s="143"/>
      <c r="AF865" s="141"/>
      <c r="AM865" s="141"/>
      <c r="BC865" s="142"/>
    </row>
    <row r="866" ht="14.25" customHeight="1">
      <c r="R866" s="143"/>
      <c r="AF866" s="141"/>
      <c r="AM866" s="141"/>
      <c r="BC866" s="142"/>
    </row>
    <row r="867" ht="14.25" customHeight="1">
      <c r="R867" s="143"/>
      <c r="AF867" s="141"/>
      <c r="AM867" s="141"/>
      <c r="BC867" s="142"/>
    </row>
    <row r="868" ht="14.25" customHeight="1">
      <c r="R868" s="143"/>
      <c r="AF868" s="141"/>
      <c r="AM868" s="141"/>
      <c r="BC868" s="142"/>
    </row>
    <row r="869" ht="14.25" customHeight="1">
      <c r="R869" s="143"/>
      <c r="AF869" s="141"/>
      <c r="AM869" s="141"/>
      <c r="BC869" s="142"/>
    </row>
    <row r="870" ht="14.25" customHeight="1">
      <c r="R870" s="143"/>
      <c r="AF870" s="141"/>
      <c r="AM870" s="141"/>
      <c r="BC870" s="142"/>
    </row>
    <row r="871" ht="14.25" customHeight="1">
      <c r="R871" s="143"/>
      <c r="AF871" s="141"/>
      <c r="AM871" s="141"/>
      <c r="BC871" s="142"/>
    </row>
    <row r="872" ht="14.25" customHeight="1">
      <c r="R872" s="143"/>
      <c r="AF872" s="141"/>
      <c r="AM872" s="141"/>
      <c r="BC872" s="142"/>
    </row>
    <row r="873" ht="14.25" customHeight="1">
      <c r="R873" s="143"/>
      <c r="AF873" s="141"/>
      <c r="AM873" s="141"/>
      <c r="BC873" s="142"/>
    </row>
    <row r="874" ht="14.25" customHeight="1">
      <c r="R874" s="143"/>
      <c r="AF874" s="141"/>
      <c r="AM874" s="141"/>
      <c r="BC874" s="142"/>
    </row>
    <row r="875" ht="14.25" customHeight="1">
      <c r="R875" s="143"/>
      <c r="AF875" s="141"/>
      <c r="AM875" s="141"/>
      <c r="BC875" s="142"/>
    </row>
    <row r="876" ht="14.25" customHeight="1">
      <c r="R876" s="143"/>
      <c r="AF876" s="141"/>
      <c r="AM876" s="141"/>
      <c r="BC876" s="142"/>
    </row>
    <row r="877" ht="14.25" customHeight="1">
      <c r="R877" s="143"/>
      <c r="AF877" s="141"/>
      <c r="AM877" s="141"/>
      <c r="BC877" s="142"/>
    </row>
    <row r="878" ht="14.25" customHeight="1">
      <c r="R878" s="143"/>
      <c r="AF878" s="141"/>
      <c r="AM878" s="141"/>
      <c r="BC878" s="142"/>
    </row>
    <row r="879" ht="14.25" customHeight="1">
      <c r="R879" s="143"/>
      <c r="AF879" s="141"/>
      <c r="AM879" s="141"/>
      <c r="BC879" s="142"/>
    </row>
    <row r="880" ht="14.25" customHeight="1">
      <c r="R880" s="143"/>
      <c r="AF880" s="141"/>
      <c r="AM880" s="141"/>
      <c r="BC880" s="142"/>
    </row>
    <row r="881" ht="14.25" customHeight="1">
      <c r="R881" s="143"/>
      <c r="AF881" s="141"/>
      <c r="AM881" s="141"/>
      <c r="BC881" s="142"/>
    </row>
    <row r="882" ht="14.25" customHeight="1">
      <c r="R882" s="143"/>
      <c r="AF882" s="141"/>
      <c r="AM882" s="141"/>
      <c r="BC882" s="142"/>
    </row>
    <row r="883" ht="14.25" customHeight="1">
      <c r="R883" s="143"/>
      <c r="AF883" s="141"/>
      <c r="AM883" s="141"/>
      <c r="BC883" s="142"/>
    </row>
    <row r="884" ht="14.25" customHeight="1">
      <c r="R884" s="143"/>
      <c r="AF884" s="141"/>
      <c r="AM884" s="141"/>
      <c r="BC884" s="142"/>
    </row>
    <row r="885" ht="14.25" customHeight="1">
      <c r="R885" s="143"/>
      <c r="AF885" s="141"/>
      <c r="AM885" s="141"/>
      <c r="BC885" s="142"/>
    </row>
    <row r="886" ht="14.25" customHeight="1">
      <c r="R886" s="143"/>
      <c r="AF886" s="141"/>
      <c r="AM886" s="141"/>
      <c r="BC886" s="142"/>
    </row>
    <row r="887" ht="14.25" customHeight="1">
      <c r="R887" s="143"/>
      <c r="AF887" s="141"/>
      <c r="AM887" s="141"/>
      <c r="BC887" s="142"/>
    </row>
    <row r="888" ht="14.25" customHeight="1">
      <c r="R888" s="143"/>
      <c r="AF888" s="141"/>
      <c r="AM888" s="141"/>
      <c r="BC888" s="142"/>
    </row>
    <row r="889" ht="14.25" customHeight="1">
      <c r="R889" s="143"/>
      <c r="AF889" s="141"/>
      <c r="AM889" s="141"/>
      <c r="BC889" s="142"/>
    </row>
    <row r="890" ht="14.25" customHeight="1">
      <c r="R890" s="143"/>
      <c r="AF890" s="141"/>
      <c r="AM890" s="141"/>
      <c r="BC890" s="142"/>
    </row>
    <row r="891" ht="14.25" customHeight="1">
      <c r="R891" s="143"/>
      <c r="AF891" s="141"/>
      <c r="AM891" s="141"/>
      <c r="BC891" s="142"/>
    </row>
    <row r="892" ht="14.25" customHeight="1">
      <c r="R892" s="143"/>
      <c r="AF892" s="141"/>
      <c r="AM892" s="141"/>
      <c r="BC892" s="142"/>
    </row>
    <row r="893" ht="14.25" customHeight="1">
      <c r="R893" s="143"/>
      <c r="AF893" s="141"/>
      <c r="AM893" s="141"/>
      <c r="BC893" s="142"/>
    </row>
    <row r="894" ht="14.25" customHeight="1">
      <c r="R894" s="143"/>
      <c r="AF894" s="141"/>
      <c r="AM894" s="141"/>
      <c r="BC894" s="142"/>
    </row>
    <row r="895" ht="14.25" customHeight="1">
      <c r="R895" s="143"/>
      <c r="AF895" s="141"/>
      <c r="AM895" s="141"/>
      <c r="BC895" s="142"/>
    </row>
    <row r="896" ht="14.25" customHeight="1">
      <c r="R896" s="143"/>
      <c r="AF896" s="141"/>
      <c r="AM896" s="141"/>
      <c r="BC896" s="142"/>
    </row>
    <row r="897" ht="14.25" customHeight="1">
      <c r="R897" s="143"/>
      <c r="AF897" s="141"/>
      <c r="AM897" s="141"/>
      <c r="BC897" s="142"/>
    </row>
    <row r="898" ht="14.25" customHeight="1">
      <c r="R898" s="143"/>
      <c r="AF898" s="141"/>
      <c r="AM898" s="141"/>
      <c r="BC898" s="142"/>
    </row>
    <row r="899" ht="14.25" customHeight="1">
      <c r="R899" s="143"/>
      <c r="AF899" s="141"/>
      <c r="AM899" s="141"/>
      <c r="BC899" s="142"/>
    </row>
    <row r="900" ht="14.25" customHeight="1">
      <c r="R900" s="143"/>
      <c r="AF900" s="141"/>
      <c r="AM900" s="141"/>
      <c r="BC900" s="142"/>
    </row>
    <row r="901" ht="14.25" customHeight="1">
      <c r="R901" s="143"/>
      <c r="AF901" s="141"/>
      <c r="AM901" s="141"/>
      <c r="BC901" s="142"/>
    </row>
    <row r="902" ht="14.25" customHeight="1">
      <c r="R902" s="143"/>
      <c r="AF902" s="141"/>
      <c r="AM902" s="141"/>
      <c r="BC902" s="142"/>
    </row>
    <row r="903" ht="14.25" customHeight="1">
      <c r="R903" s="143"/>
      <c r="AF903" s="141"/>
      <c r="AM903" s="141"/>
      <c r="BC903" s="142"/>
    </row>
    <row r="904" ht="14.25" customHeight="1">
      <c r="R904" s="143"/>
      <c r="AF904" s="141"/>
      <c r="AM904" s="141"/>
      <c r="BC904" s="142"/>
    </row>
    <row r="905" ht="14.25" customHeight="1">
      <c r="R905" s="143"/>
      <c r="AF905" s="141"/>
      <c r="AM905" s="141"/>
      <c r="BC905" s="142"/>
    </row>
    <row r="906" ht="14.25" customHeight="1">
      <c r="R906" s="143"/>
      <c r="AF906" s="141"/>
      <c r="AM906" s="141"/>
      <c r="BC906" s="142"/>
    </row>
    <row r="907" ht="14.25" customHeight="1">
      <c r="R907" s="143"/>
      <c r="AF907" s="141"/>
      <c r="AM907" s="141"/>
      <c r="BC907" s="142"/>
    </row>
    <row r="908" ht="14.25" customHeight="1">
      <c r="R908" s="143"/>
      <c r="AF908" s="141"/>
      <c r="AM908" s="141"/>
      <c r="BC908" s="142"/>
    </row>
    <row r="909" ht="14.25" customHeight="1">
      <c r="R909" s="143"/>
      <c r="AF909" s="141"/>
      <c r="AM909" s="141"/>
      <c r="BC909" s="142"/>
    </row>
    <row r="910" ht="14.25" customHeight="1">
      <c r="R910" s="143"/>
      <c r="AF910" s="141"/>
      <c r="AM910" s="141"/>
      <c r="BC910" s="142"/>
    </row>
    <row r="911" ht="14.25" customHeight="1">
      <c r="R911" s="143"/>
      <c r="AF911" s="141"/>
      <c r="AM911" s="141"/>
      <c r="BC911" s="142"/>
    </row>
    <row r="912" ht="14.25" customHeight="1">
      <c r="R912" s="143"/>
      <c r="AF912" s="141"/>
      <c r="AM912" s="141"/>
      <c r="BC912" s="142"/>
    </row>
    <row r="913" ht="14.25" customHeight="1">
      <c r="R913" s="143"/>
      <c r="AF913" s="141"/>
      <c r="AM913" s="141"/>
      <c r="BC913" s="142"/>
    </row>
    <row r="914" ht="14.25" customHeight="1">
      <c r="R914" s="143"/>
      <c r="AF914" s="141"/>
      <c r="AM914" s="141"/>
      <c r="BC914" s="142"/>
    </row>
    <row r="915" ht="14.25" customHeight="1">
      <c r="R915" s="143"/>
      <c r="AF915" s="141"/>
      <c r="AM915" s="141"/>
      <c r="BC915" s="142"/>
    </row>
    <row r="916" ht="14.25" customHeight="1">
      <c r="R916" s="143"/>
      <c r="AF916" s="141"/>
      <c r="AM916" s="141"/>
      <c r="BC916" s="142"/>
    </row>
    <row r="917" ht="14.25" customHeight="1">
      <c r="R917" s="143"/>
      <c r="AF917" s="141"/>
      <c r="AM917" s="141"/>
      <c r="BC917" s="142"/>
    </row>
    <row r="918" ht="14.25" customHeight="1">
      <c r="R918" s="143"/>
      <c r="AF918" s="141"/>
      <c r="AM918" s="141"/>
      <c r="BC918" s="142"/>
    </row>
    <row r="919" ht="14.25" customHeight="1">
      <c r="R919" s="143"/>
      <c r="AF919" s="141"/>
      <c r="AM919" s="141"/>
      <c r="BC919" s="142"/>
    </row>
    <row r="920" ht="14.25" customHeight="1">
      <c r="R920" s="143"/>
      <c r="AF920" s="141"/>
      <c r="AM920" s="141"/>
      <c r="BC920" s="142"/>
    </row>
    <row r="921" ht="14.25" customHeight="1">
      <c r="R921" s="143"/>
      <c r="AF921" s="141"/>
      <c r="AM921" s="141"/>
      <c r="BC921" s="142"/>
    </row>
    <row r="922" ht="14.25" customHeight="1">
      <c r="R922" s="143"/>
      <c r="AF922" s="141"/>
      <c r="AM922" s="141"/>
      <c r="BC922" s="142"/>
    </row>
    <row r="923" ht="14.25" customHeight="1">
      <c r="R923" s="143"/>
      <c r="AF923" s="141"/>
      <c r="AM923" s="141"/>
      <c r="BC923" s="142"/>
    </row>
    <row r="924" ht="14.25" customHeight="1">
      <c r="R924" s="143"/>
      <c r="AF924" s="141"/>
      <c r="AM924" s="141"/>
      <c r="BC924" s="142"/>
    </row>
    <row r="925" ht="14.25" customHeight="1">
      <c r="R925" s="143"/>
      <c r="AF925" s="141"/>
      <c r="AM925" s="141"/>
      <c r="BC925" s="142"/>
    </row>
    <row r="926" ht="14.25" customHeight="1">
      <c r="R926" s="143"/>
      <c r="AF926" s="141"/>
      <c r="AM926" s="141"/>
      <c r="BC926" s="142"/>
    </row>
    <row r="927" ht="14.25" customHeight="1">
      <c r="R927" s="143"/>
      <c r="AF927" s="141"/>
      <c r="AM927" s="141"/>
      <c r="BC927" s="142"/>
    </row>
    <row r="928" ht="14.25" customHeight="1">
      <c r="R928" s="143"/>
      <c r="AF928" s="141"/>
      <c r="AM928" s="141"/>
      <c r="BC928" s="142"/>
    </row>
    <row r="929" ht="14.25" customHeight="1">
      <c r="R929" s="143"/>
      <c r="AF929" s="141"/>
      <c r="AM929" s="141"/>
      <c r="BC929" s="142"/>
    </row>
    <row r="930" ht="14.25" customHeight="1">
      <c r="R930" s="143"/>
      <c r="AF930" s="141"/>
      <c r="AM930" s="141"/>
      <c r="BC930" s="142"/>
    </row>
    <row r="931" ht="14.25" customHeight="1">
      <c r="R931" s="143"/>
      <c r="AF931" s="141"/>
      <c r="AM931" s="141"/>
      <c r="BC931" s="142"/>
    </row>
    <row r="932" ht="14.25" customHeight="1">
      <c r="R932" s="143"/>
      <c r="AF932" s="141"/>
      <c r="AM932" s="141"/>
      <c r="BC932" s="142"/>
    </row>
    <row r="933" ht="14.25" customHeight="1">
      <c r="R933" s="143"/>
      <c r="AF933" s="141"/>
      <c r="AM933" s="141"/>
      <c r="BC933" s="142"/>
    </row>
    <row r="934" ht="14.25" customHeight="1">
      <c r="R934" s="143"/>
      <c r="AF934" s="141"/>
      <c r="AM934" s="141"/>
      <c r="BC934" s="142"/>
    </row>
    <row r="935" ht="14.25" customHeight="1">
      <c r="R935" s="143"/>
      <c r="AF935" s="141"/>
      <c r="AM935" s="141"/>
      <c r="BC935" s="142"/>
    </row>
    <row r="936" ht="14.25" customHeight="1">
      <c r="R936" s="143"/>
      <c r="AF936" s="141"/>
      <c r="AM936" s="141"/>
      <c r="BC936" s="142"/>
    </row>
    <row r="937" ht="14.25" customHeight="1">
      <c r="R937" s="143"/>
      <c r="AF937" s="141"/>
      <c r="AM937" s="141"/>
      <c r="BC937" s="142"/>
    </row>
    <row r="938" ht="14.25" customHeight="1">
      <c r="R938" s="143"/>
      <c r="AF938" s="141"/>
      <c r="AM938" s="141"/>
      <c r="BC938" s="142"/>
    </row>
    <row r="939" ht="14.25" customHeight="1">
      <c r="R939" s="143"/>
      <c r="AF939" s="141"/>
      <c r="AM939" s="141"/>
      <c r="BC939" s="142"/>
    </row>
    <row r="940" ht="14.25" customHeight="1">
      <c r="R940" s="143"/>
      <c r="AF940" s="141"/>
      <c r="AM940" s="141"/>
      <c r="BC940" s="142"/>
    </row>
    <row r="941" ht="14.25" customHeight="1">
      <c r="R941" s="143"/>
      <c r="AF941" s="141"/>
      <c r="AM941" s="141"/>
      <c r="BC941" s="142"/>
    </row>
    <row r="942" ht="14.25" customHeight="1">
      <c r="R942" s="143"/>
      <c r="AF942" s="141"/>
      <c r="AM942" s="141"/>
      <c r="BC942" s="142"/>
    </row>
    <row r="943" ht="14.25" customHeight="1">
      <c r="R943" s="143"/>
      <c r="AF943" s="141"/>
      <c r="AM943" s="141"/>
      <c r="BC943" s="142"/>
    </row>
    <row r="944" ht="14.25" customHeight="1">
      <c r="R944" s="143"/>
      <c r="AF944" s="141"/>
      <c r="AM944" s="141"/>
      <c r="BC944" s="142"/>
    </row>
    <row r="945" ht="14.25" customHeight="1">
      <c r="R945" s="143"/>
      <c r="AF945" s="141"/>
      <c r="AM945" s="141"/>
      <c r="BC945" s="142"/>
    </row>
    <row r="946" ht="14.25" customHeight="1">
      <c r="R946" s="143"/>
      <c r="AF946" s="141"/>
      <c r="AM946" s="141"/>
      <c r="BC946" s="142"/>
    </row>
    <row r="947" ht="14.25" customHeight="1">
      <c r="R947" s="143"/>
      <c r="AF947" s="141"/>
      <c r="AM947" s="141"/>
      <c r="BC947" s="142"/>
    </row>
    <row r="948" ht="14.25" customHeight="1">
      <c r="R948" s="143"/>
      <c r="AF948" s="141"/>
      <c r="AM948" s="141"/>
      <c r="BC948" s="142"/>
    </row>
    <row r="949" ht="14.25" customHeight="1">
      <c r="R949" s="143"/>
      <c r="AF949" s="141"/>
      <c r="AM949" s="141"/>
      <c r="BC949" s="142"/>
    </row>
    <row r="950" ht="14.25" customHeight="1">
      <c r="R950" s="143"/>
      <c r="AF950" s="141"/>
      <c r="AM950" s="141"/>
      <c r="BC950" s="142"/>
    </row>
    <row r="951" ht="14.25" customHeight="1">
      <c r="R951" s="143"/>
      <c r="AF951" s="141"/>
      <c r="AM951" s="141"/>
      <c r="BC951" s="142"/>
    </row>
    <row r="952" ht="14.25" customHeight="1">
      <c r="R952" s="143"/>
      <c r="AF952" s="141"/>
      <c r="AM952" s="141"/>
      <c r="BC952" s="142"/>
    </row>
    <row r="953" ht="14.25" customHeight="1">
      <c r="R953" s="143"/>
      <c r="AF953" s="141"/>
      <c r="AM953" s="141"/>
      <c r="BC953" s="142"/>
    </row>
    <row r="954" ht="14.25" customHeight="1">
      <c r="R954" s="143"/>
      <c r="AF954" s="141"/>
      <c r="AM954" s="141"/>
      <c r="BC954" s="142"/>
    </row>
    <row r="955" ht="14.25" customHeight="1">
      <c r="R955" s="143"/>
      <c r="AF955" s="141"/>
      <c r="AM955" s="141"/>
      <c r="BC955" s="142"/>
    </row>
    <row r="956" ht="14.25" customHeight="1">
      <c r="R956" s="143"/>
      <c r="AF956" s="141"/>
      <c r="AM956" s="141"/>
      <c r="BC956" s="142"/>
    </row>
    <row r="957" ht="14.25" customHeight="1">
      <c r="R957" s="143"/>
      <c r="AF957" s="141"/>
      <c r="AM957" s="141"/>
      <c r="BC957" s="142"/>
    </row>
    <row r="958" ht="14.25" customHeight="1">
      <c r="R958" s="143"/>
      <c r="AF958" s="141"/>
      <c r="AM958" s="141"/>
      <c r="BC958" s="142"/>
    </row>
    <row r="959" ht="14.25" customHeight="1">
      <c r="R959" s="143"/>
      <c r="AF959" s="141"/>
      <c r="AM959" s="141"/>
      <c r="BC959" s="142"/>
    </row>
    <row r="960" ht="14.25" customHeight="1">
      <c r="R960" s="143"/>
      <c r="AF960" s="141"/>
      <c r="AM960" s="141"/>
      <c r="BC960" s="142"/>
    </row>
    <row r="961" ht="14.25" customHeight="1">
      <c r="R961" s="143"/>
      <c r="AF961" s="141"/>
      <c r="AM961" s="141"/>
      <c r="BC961" s="142"/>
    </row>
    <row r="962" ht="14.25" customHeight="1">
      <c r="R962" s="143"/>
      <c r="AF962" s="141"/>
      <c r="AM962" s="141"/>
      <c r="BC962" s="142"/>
    </row>
    <row r="963" ht="14.25" customHeight="1">
      <c r="R963" s="143"/>
      <c r="AF963" s="141"/>
      <c r="AM963" s="141"/>
      <c r="BC963" s="142"/>
    </row>
    <row r="964" ht="14.25" customHeight="1">
      <c r="R964" s="143"/>
      <c r="AF964" s="141"/>
      <c r="AM964" s="141"/>
      <c r="BC964" s="142"/>
    </row>
    <row r="965" ht="14.25" customHeight="1">
      <c r="R965" s="143"/>
      <c r="AF965" s="141"/>
      <c r="AM965" s="141"/>
      <c r="BC965" s="142"/>
    </row>
    <row r="966" ht="14.25" customHeight="1">
      <c r="R966" s="143"/>
      <c r="AF966" s="141"/>
      <c r="AM966" s="141"/>
      <c r="BC966" s="142"/>
    </row>
    <row r="967" ht="14.25" customHeight="1">
      <c r="R967" s="143"/>
      <c r="AF967" s="141"/>
      <c r="AM967" s="141"/>
      <c r="BC967" s="142"/>
    </row>
    <row r="968" ht="14.25" customHeight="1">
      <c r="R968" s="143"/>
      <c r="AF968" s="141"/>
      <c r="AM968" s="141"/>
      <c r="BC968" s="142"/>
    </row>
    <row r="969" ht="14.25" customHeight="1">
      <c r="R969" s="143"/>
      <c r="AF969" s="141"/>
      <c r="AM969" s="141"/>
      <c r="BC969" s="142"/>
    </row>
    <row r="970" ht="14.25" customHeight="1">
      <c r="R970" s="143"/>
      <c r="AF970" s="141"/>
      <c r="AM970" s="141"/>
      <c r="BC970" s="142"/>
    </row>
    <row r="971" ht="14.25" customHeight="1">
      <c r="R971" s="143"/>
      <c r="AF971" s="141"/>
      <c r="AM971" s="141"/>
      <c r="BC971" s="142"/>
    </row>
    <row r="972" ht="14.25" customHeight="1">
      <c r="R972" s="143"/>
      <c r="AF972" s="141"/>
      <c r="AM972" s="141"/>
      <c r="BC972" s="142"/>
    </row>
    <row r="973" ht="14.25" customHeight="1">
      <c r="R973" s="143"/>
      <c r="AF973" s="141"/>
      <c r="AM973" s="141"/>
      <c r="BC973" s="142"/>
    </row>
    <row r="974" ht="14.25" customHeight="1">
      <c r="R974" s="143"/>
      <c r="AF974" s="141"/>
      <c r="AM974" s="141"/>
      <c r="BC974" s="142"/>
    </row>
    <row r="975" ht="14.25" customHeight="1">
      <c r="R975" s="143"/>
      <c r="AF975" s="141"/>
      <c r="AM975" s="141"/>
      <c r="BC975" s="142"/>
    </row>
    <row r="976" ht="14.25" customHeight="1">
      <c r="R976" s="143"/>
      <c r="AF976" s="141"/>
      <c r="AM976" s="141"/>
      <c r="BC976" s="142"/>
    </row>
    <row r="977" ht="14.25" customHeight="1">
      <c r="R977" s="143"/>
      <c r="AF977" s="141"/>
      <c r="AM977" s="141"/>
      <c r="BC977" s="142"/>
    </row>
    <row r="978" ht="14.25" customHeight="1">
      <c r="R978" s="143"/>
      <c r="AF978" s="141"/>
      <c r="AM978" s="141"/>
      <c r="BC978" s="142"/>
    </row>
    <row r="979" ht="14.25" customHeight="1">
      <c r="R979" s="143"/>
      <c r="AF979" s="141"/>
      <c r="AM979" s="141"/>
      <c r="BC979" s="142"/>
    </row>
    <row r="980" ht="14.25" customHeight="1">
      <c r="R980" s="143"/>
      <c r="AF980" s="141"/>
      <c r="AM980" s="141"/>
      <c r="BC980" s="142"/>
    </row>
    <row r="981" ht="14.25" customHeight="1">
      <c r="R981" s="143"/>
      <c r="AF981" s="141"/>
      <c r="AM981" s="141"/>
      <c r="BC981" s="142"/>
    </row>
    <row r="982" ht="14.25" customHeight="1">
      <c r="R982" s="143"/>
      <c r="AF982" s="141"/>
      <c r="AM982" s="141"/>
      <c r="BC982" s="142"/>
    </row>
    <row r="983" ht="14.25" customHeight="1">
      <c r="R983" s="143"/>
      <c r="AF983" s="141"/>
      <c r="AM983" s="141"/>
      <c r="BC983" s="142"/>
    </row>
    <row r="984" ht="14.25" customHeight="1">
      <c r="R984" s="143"/>
      <c r="AF984" s="141"/>
      <c r="AM984" s="141"/>
      <c r="BC984" s="142"/>
    </row>
    <row r="985" ht="14.25" customHeight="1">
      <c r="R985" s="143"/>
      <c r="AF985" s="141"/>
      <c r="AM985" s="141"/>
      <c r="BC985" s="142"/>
    </row>
    <row r="986" ht="14.25" customHeight="1">
      <c r="R986" s="143"/>
      <c r="AF986" s="141"/>
      <c r="AM986" s="141"/>
      <c r="BC986" s="142"/>
    </row>
    <row r="987" ht="14.25" customHeight="1">
      <c r="R987" s="143"/>
      <c r="AF987" s="141"/>
      <c r="AM987" s="141"/>
      <c r="BC987" s="142"/>
    </row>
    <row r="988" ht="14.25" customHeight="1">
      <c r="R988" s="143"/>
      <c r="AF988" s="141"/>
      <c r="AM988" s="141"/>
      <c r="BC988" s="142"/>
    </row>
    <row r="989" ht="14.25" customHeight="1">
      <c r="R989" s="143"/>
      <c r="AF989" s="141"/>
      <c r="AM989" s="141"/>
      <c r="BC989" s="142"/>
    </row>
    <row r="990" ht="14.25" customHeight="1">
      <c r="R990" s="143"/>
      <c r="AF990" s="141"/>
      <c r="AM990" s="141"/>
      <c r="BC990" s="142"/>
    </row>
    <row r="991" ht="14.25" customHeight="1">
      <c r="R991" s="143"/>
      <c r="AF991" s="141"/>
      <c r="AM991" s="141"/>
      <c r="BC991" s="142"/>
    </row>
    <row r="992" ht="14.25" customHeight="1">
      <c r="R992" s="143"/>
      <c r="AF992" s="141"/>
      <c r="AM992" s="141"/>
      <c r="BC992" s="142"/>
    </row>
    <row r="993" ht="14.25" customHeight="1">
      <c r="R993" s="143"/>
      <c r="AF993" s="141"/>
      <c r="AM993" s="141"/>
      <c r="BC993" s="142"/>
    </row>
    <row r="994" ht="14.25" customHeight="1">
      <c r="R994" s="143"/>
      <c r="AF994" s="141"/>
      <c r="AM994" s="141"/>
      <c r="BC994" s="142"/>
    </row>
    <row r="995" ht="14.25" customHeight="1">
      <c r="R995" s="143"/>
      <c r="AF995" s="141"/>
      <c r="AM995" s="141"/>
      <c r="BC995" s="142"/>
    </row>
    <row r="996" ht="14.25" customHeight="1">
      <c r="R996" s="143"/>
      <c r="AF996" s="141"/>
      <c r="AM996" s="141"/>
      <c r="BC996" s="142"/>
    </row>
    <row r="997" ht="14.25" customHeight="1">
      <c r="R997" s="143"/>
      <c r="AF997" s="141"/>
      <c r="AM997" s="141"/>
      <c r="BC997" s="142"/>
    </row>
    <row r="998" ht="14.25" customHeight="1">
      <c r="R998" s="143"/>
      <c r="AF998" s="141"/>
      <c r="AM998" s="141"/>
      <c r="BC998" s="142"/>
    </row>
    <row r="999" ht="14.25" customHeight="1">
      <c r="R999" s="143"/>
      <c r="AF999" s="141"/>
      <c r="AM999" s="141"/>
      <c r="BC999" s="142"/>
    </row>
    <row r="1000" ht="14.25" customHeight="1">
      <c r="R1000" s="143"/>
      <c r="AF1000" s="141"/>
      <c r="AM1000" s="141"/>
      <c r="BC1000" s="142"/>
    </row>
    <row r="1001" ht="14.25" customHeight="1">
      <c r="R1001" s="143"/>
      <c r="AF1001" s="141"/>
      <c r="AM1001" s="141"/>
      <c r="BC1001" s="142"/>
    </row>
  </sheetData>
  <customSheetViews>
    <customSheetView guid="{91824D0F-ED94-49AF-81A1-6E1DCECF46F4}" filter="1" showAutoFilter="1">
      <autoFilter ref="$A$5:$CT$46"/>
      <extLst>
        <ext uri="GoogleSheetsCustomDataVersion1">
          <go:sheetsCustomData xmlns:go="http://customooxmlschemas.google.com/" filterViewId="1501522273"/>
        </ext>
      </extLst>
    </customSheetView>
  </customSheetViews>
  <mergeCells count="7">
    <mergeCell ref="D3:M3"/>
    <mergeCell ref="O3:Q3"/>
    <mergeCell ref="R3:AC3"/>
    <mergeCell ref="AE3:BB3"/>
    <mergeCell ref="BE3:BR3"/>
    <mergeCell ref="BS3:CL3"/>
    <mergeCell ref="R4:AA4"/>
  </mergeCells>
  <conditionalFormatting sqref="BC6:BD43">
    <cfRule type="cellIs" dxfId="0" priority="1" operator="greaterThan">
      <formula>"70%"</formula>
    </cfRule>
  </conditionalFormatting>
  <conditionalFormatting sqref="BC6:BD42">
    <cfRule type="cellIs" dxfId="1" priority="2" operator="lessThanOrEqual">
      <formula>"40%"</formula>
    </cfRule>
  </conditionalFormatting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4.43" defaultRowHeight="15.0"/>
  <cols>
    <col customWidth="1" min="1" max="2" width="8.71"/>
    <col customWidth="1" min="3" max="3" width="34.71"/>
    <col customWidth="1" min="4" max="7" width="8.71"/>
    <col customWidth="1" min="8" max="8" width="12.43"/>
    <col customWidth="1" min="9" max="11" width="12.0"/>
    <col customWidth="1" min="12" max="12" width="12.29"/>
    <col customWidth="1" min="13" max="14" width="8.71"/>
    <col customWidth="1" min="15" max="17" width="12.29"/>
    <col customWidth="1" min="18" max="18" width="11.29"/>
    <col customWidth="1" min="19" max="23" width="15.43"/>
    <col customWidth="1" min="24" max="42" width="8.71"/>
    <col customWidth="1" min="43" max="55" width="11.29"/>
    <col customWidth="1" min="56" max="56" width="12.71"/>
    <col customWidth="1" min="57" max="57" width="13.29"/>
    <col customWidth="1" min="58" max="59" width="9.43"/>
    <col customWidth="1" min="60" max="60" width="8.86"/>
    <col customWidth="1" min="61" max="61" width="7.43"/>
    <col customWidth="1" min="62" max="62" width="8.0"/>
    <col customWidth="1" min="63" max="63" width="6.86"/>
    <col customWidth="1" min="64" max="68" width="12.71"/>
    <col customWidth="1" min="69" max="69" width="12.86"/>
    <col customWidth="1" min="70" max="70" width="11.29"/>
    <col customWidth="1" min="71" max="71" width="13.0"/>
    <col customWidth="1" min="72" max="72" width="12.14"/>
    <col customWidth="1" min="73" max="73" width="17.0"/>
    <col customWidth="1" min="74" max="75" width="8.71"/>
    <col customWidth="1" min="76" max="78" width="25.71"/>
  </cols>
  <sheetData>
    <row r="1" ht="14.25" customHeight="1">
      <c r="A1" s="137" t="s">
        <v>3</v>
      </c>
      <c r="B1" s="138"/>
      <c r="C1" s="138"/>
      <c r="D1" s="138"/>
      <c r="E1" s="258"/>
      <c r="F1" s="138"/>
      <c r="G1" s="258"/>
      <c r="H1" s="25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259"/>
      <c r="Z1" s="138"/>
      <c r="AA1" s="138"/>
      <c r="AJ1" s="53"/>
    </row>
    <row r="2" ht="14.25" customHeight="1">
      <c r="E2" s="260"/>
      <c r="G2" s="260"/>
      <c r="H2" s="260"/>
      <c r="Y2" s="261"/>
      <c r="AJ2" s="53"/>
    </row>
    <row r="3" ht="14.25" customHeight="1">
      <c r="A3" s="167" t="s">
        <v>110</v>
      </c>
      <c r="B3" s="167" t="s">
        <v>111</v>
      </c>
      <c r="C3" s="168" t="s">
        <v>112</v>
      </c>
      <c r="D3" s="262" t="s">
        <v>90</v>
      </c>
      <c r="E3" s="20"/>
      <c r="F3" s="20"/>
      <c r="G3" s="21"/>
      <c r="H3" s="263" t="s">
        <v>90</v>
      </c>
      <c r="I3" s="20"/>
      <c r="J3" s="20"/>
      <c r="K3" s="20"/>
      <c r="L3" s="20"/>
      <c r="M3" s="20"/>
      <c r="N3" s="20"/>
      <c r="O3" s="20"/>
      <c r="P3" s="20"/>
      <c r="Q3" s="20"/>
      <c r="R3" s="21"/>
      <c r="S3" s="146" t="s">
        <v>90</v>
      </c>
      <c r="T3" s="20"/>
      <c r="U3" s="20"/>
      <c r="V3" s="20"/>
      <c r="W3" s="21"/>
      <c r="X3" s="264"/>
      <c r="Y3" s="265" t="s">
        <v>94</v>
      </c>
      <c r="Z3" s="20"/>
      <c r="AA3" s="20"/>
      <c r="AB3" s="21"/>
      <c r="AC3" s="146" t="s">
        <v>94</v>
      </c>
      <c r="AD3" s="20"/>
      <c r="AE3" s="20"/>
      <c r="AF3" s="20"/>
      <c r="AG3" s="20"/>
      <c r="AH3" s="20"/>
      <c r="AI3" s="20"/>
      <c r="AJ3" s="20"/>
      <c r="AK3" s="20"/>
      <c r="AL3" s="20"/>
      <c r="AM3" s="21"/>
      <c r="AN3" s="146" t="s">
        <v>94</v>
      </c>
      <c r="AO3" s="20"/>
      <c r="AP3" s="21"/>
      <c r="AQ3" s="266"/>
      <c r="AR3" s="146" t="s">
        <v>107</v>
      </c>
      <c r="AS3" s="20"/>
      <c r="AT3" s="20"/>
      <c r="AU3" s="20"/>
      <c r="AV3" s="20"/>
      <c r="AW3" s="20"/>
      <c r="AX3" s="20"/>
      <c r="AY3" s="20"/>
      <c r="AZ3" s="20"/>
      <c r="BA3" s="21"/>
      <c r="BB3" s="146" t="s">
        <v>108</v>
      </c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1"/>
      <c r="BN3" s="146" t="s">
        <v>108</v>
      </c>
      <c r="BO3" s="20"/>
      <c r="BP3" s="20"/>
      <c r="BQ3" s="20"/>
      <c r="BR3" s="21"/>
      <c r="BS3" s="152"/>
      <c r="BT3" s="152"/>
      <c r="BU3" s="152"/>
      <c r="BV3" s="152"/>
      <c r="BW3" s="152"/>
    </row>
    <row r="4" ht="39.75" customHeight="1">
      <c r="A4" s="23"/>
      <c r="B4" s="23"/>
      <c r="C4" s="23"/>
      <c r="D4" s="155" t="s">
        <v>67</v>
      </c>
      <c r="E4" s="267" t="s">
        <v>68</v>
      </c>
      <c r="F4" s="156" t="s">
        <v>194</v>
      </c>
      <c r="G4" s="267" t="s">
        <v>69</v>
      </c>
      <c r="H4" s="267" t="s">
        <v>38</v>
      </c>
      <c r="I4" s="156" t="s">
        <v>195</v>
      </c>
      <c r="J4" s="156" t="s">
        <v>113</v>
      </c>
      <c r="K4" s="155" t="s">
        <v>73</v>
      </c>
      <c r="L4" s="155" t="s">
        <v>42</v>
      </c>
      <c r="M4" s="156" t="s">
        <v>196</v>
      </c>
      <c r="N4" s="155" t="s">
        <v>74</v>
      </c>
      <c r="O4" s="156" t="s">
        <v>197</v>
      </c>
      <c r="P4" s="156" t="s">
        <v>114</v>
      </c>
      <c r="Q4" s="155" t="s">
        <v>75</v>
      </c>
      <c r="R4" s="155" t="s">
        <v>48</v>
      </c>
      <c r="S4" s="156" t="s">
        <v>91</v>
      </c>
      <c r="T4" s="156"/>
      <c r="U4" s="156" t="s">
        <v>92</v>
      </c>
      <c r="V4" s="156"/>
      <c r="W4" s="156" t="s">
        <v>93</v>
      </c>
      <c r="X4" s="156"/>
      <c r="Y4" s="268" t="s">
        <v>67</v>
      </c>
      <c r="Z4" s="156" t="s">
        <v>120</v>
      </c>
      <c r="AA4" s="155" t="s">
        <v>68</v>
      </c>
      <c r="AB4" s="155" t="s">
        <v>69</v>
      </c>
      <c r="AC4" s="156" t="s">
        <v>38</v>
      </c>
      <c r="AD4" s="156"/>
      <c r="AE4" s="156" t="s">
        <v>122</v>
      </c>
      <c r="AF4" s="156" t="s">
        <v>73</v>
      </c>
      <c r="AG4" s="156" t="s">
        <v>42</v>
      </c>
      <c r="AH4" s="156"/>
      <c r="AI4" s="156" t="s">
        <v>74</v>
      </c>
      <c r="AJ4" s="269"/>
      <c r="AK4" s="156" t="s">
        <v>127</v>
      </c>
      <c r="AL4" s="156" t="s">
        <v>75</v>
      </c>
      <c r="AM4" s="156" t="s">
        <v>48</v>
      </c>
      <c r="AN4" s="156" t="s">
        <v>91</v>
      </c>
      <c r="AO4" s="156" t="s">
        <v>92</v>
      </c>
      <c r="AP4" s="156" t="s">
        <v>93</v>
      </c>
      <c r="AQ4" s="156" t="s">
        <v>129</v>
      </c>
      <c r="AR4" s="156" t="s">
        <v>130</v>
      </c>
      <c r="AS4" s="161" t="s">
        <v>38</v>
      </c>
      <c r="AT4" s="161" t="s">
        <v>122</v>
      </c>
      <c r="AU4" s="161" t="s">
        <v>74</v>
      </c>
      <c r="AV4" s="162" t="s">
        <v>127</v>
      </c>
      <c r="AW4" s="25" t="s">
        <v>70</v>
      </c>
      <c r="AX4" s="25" t="s">
        <v>71</v>
      </c>
      <c r="AY4" s="25" t="s">
        <v>72</v>
      </c>
      <c r="AZ4" s="161" t="s">
        <v>68</v>
      </c>
      <c r="BA4" s="161" t="s">
        <v>69</v>
      </c>
      <c r="BB4" s="156" t="s">
        <v>135</v>
      </c>
      <c r="BC4" s="156" t="s">
        <v>136</v>
      </c>
      <c r="BD4" s="156" t="s">
        <v>38</v>
      </c>
      <c r="BE4" s="156" t="s">
        <v>137</v>
      </c>
      <c r="BF4" s="156" t="s">
        <v>138</v>
      </c>
      <c r="BG4" s="156" t="s">
        <v>73</v>
      </c>
      <c r="BH4" s="156" t="s">
        <v>42</v>
      </c>
      <c r="BI4" s="156" t="s">
        <v>74</v>
      </c>
      <c r="BJ4" s="156" t="s">
        <v>75</v>
      </c>
      <c r="BK4" s="156" t="s">
        <v>48</v>
      </c>
      <c r="BL4" s="156" t="s">
        <v>68</v>
      </c>
      <c r="BM4" s="156" t="s">
        <v>69</v>
      </c>
      <c r="BN4" s="156" t="s">
        <v>91</v>
      </c>
      <c r="BO4" s="156" t="s">
        <v>142</v>
      </c>
      <c r="BP4" s="156" t="s">
        <v>143</v>
      </c>
      <c r="BQ4" s="156" t="s">
        <v>92</v>
      </c>
      <c r="BR4" s="156" t="s">
        <v>93</v>
      </c>
      <c r="BS4" s="165"/>
      <c r="BT4" s="165"/>
      <c r="BU4" s="165"/>
      <c r="BV4" s="166"/>
      <c r="BW4" s="166"/>
    </row>
    <row r="5" ht="39.75" customHeight="1">
      <c r="A5" s="270" t="s">
        <v>198</v>
      </c>
      <c r="B5" s="270" t="s">
        <v>111</v>
      </c>
      <c r="C5" s="266" t="s">
        <v>199</v>
      </c>
      <c r="D5" s="155" t="s">
        <v>67</v>
      </c>
      <c r="E5" s="267" t="s">
        <v>68</v>
      </c>
      <c r="F5" s="156" t="s">
        <v>194</v>
      </c>
      <c r="G5" s="267" t="s">
        <v>69</v>
      </c>
      <c r="H5" s="267" t="s">
        <v>38</v>
      </c>
      <c r="I5" s="156" t="s">
        <v>195</v>
      </c>
      <c r="J5" s="156" t="s">
        <v>113</v>
      </c>
      <c r="K5" s="155" t="s">
        <v>73</v>
      </c>
      <c r="L5" s="155" t="s">
        <v>42</v>
      </c>
      <c r="M5" s="175" t="s">
        <v>196</v>
      </c>
      <c r="N5" s="155" t="s">
        <v>74</v>
      </c>
      <c r="O5" s="156" t="s">
        <v>197</v>
      </c>
      <c r="P5" s="156" t="s">
        <v>114</v>
      </c>
      <c r="Q5" s="155" t="s">
        <v>75</v>
      </c>
      <c r="R5" s="155" t="s">
        <v>48</v>
      </c>
      <c r="S5" s="156" t="s">
        <v>91</v>
      </c>
      <c r="T5" s="156"/>
      <c r="U5" s="156" t="s">
        <v>92</v>
      </c>
      <c r="V5" s="156"/>
      <c r="W5" s="156" t="s">
        <v>93</v>
      </c>
      <c r="X5" s="156"/>
      <c r="Y5" s="268" t="s">
        <v>67</v>
      </c>
      <c r="Z5" s="156" t="s">
        <v>120</v>
      </c>
      <c r="AA5" s="155" t="s">
        <v>68</v>
      </c>
      <c r="AB5" s="155" t="s">
        <v>69</v>
      </c>
      <c r="AC5" s="156" t="s">
        <v>38</v>
      </c>
      <c r="AD5" s="156"/>
      <c r="AE5" s="156" t="s">
        <v>122</v>
      </c>
      <c r="AF5" s="156" t="s">
        <v>73</v>
      </c>
      <c r="AG5" s="156" t="s">
        <v>42</v>
      </c>
      <c r="AH5" s="156"/>
      <c r="AI5" s="156" t="s">
        <v>74</v>
      </c>
      <c r="AJ5" s="269"/>
      <c r="AK5" s="156" t="s">
        <v>127</v>
      </c>
      <c r="AL5" s="156" t="s">
        <v>75</v>
      </c>
      <c r="AM5" s="156" t="s">
        <v>48</v>
      </c>
      <c r="AN5" s="156" t="s">
        <v>91</v>
      </c>
      <c r="AO5" s="156" t="s">
        <v>92</v>
      </c>
      <c r="AP5" s="156" t="s">
        <v>93</v>
      </c>
      <c r="AQ5" s="156" t="s">
        <v>129</v>
      </c>
      <c r="AR5" s="156" t="s">
        <v>130</v>
      </c>
      <c r="AS5" s="161" t="s">
        <v>38</v>
      </c>
      <c r="AT5" s="161" t="s">
        <v>122</v>
      </c>
      <c r="AU5" s="161" t="s">
        <v>74</v>
      </c>
      <c r="AV5" s="162" t="s">
        <v>127</v>
      </c>
      <c r="AW5" s="25" t="s">
        <v>70</v>
      </c>
      <c r="AX5" s="25" t="s">
        <v>71</v>
      </c>
      <c r="AY5" s="25" t="s">
        <v>72</v>
      </c>
      <c r="AZ5" s="161" t="s">
        <v>68</v>
      </c>
      <c r="BA5" s="161" t="s">
        <v>69</v>
      </c>
      <c r="BB5" s="156" t="s">
        <v>135</v>
      </c>
      <c r="BC5" s="156" t="s">
        <v>136</v>
      </c>
      <c r="BD5" s="156" t="s">
        <v>38</v>
      </c>
      <c r="BE5" s="156" t="s">
        <v>137</v>
      </c>
      <c r="BF5" s="156" t="s">
        <v>138</v>
      </c>
      <c r="BG5" s="156" t="s">
        <v>73</v>
      </c>
      <c r="BH5" s="156" t="s">
        <v>42</v>
      </c>
      <c r="BI5" s="156" t="s">
        <v>74</v>
      </c>
      <c r="BJ5" s="156" t="s">
        <v>75</v>
      </c>
      <c r="BK5" s="156" t="s">
        <v>48</v>
      </c>
      <c r="BL5" s="156" t="s">
        <v>68</v>
      </c>
      <c r="BM5" s="156" t="s">
        <v>69</v>
      </c>
      <c r="BN5" s="156" t="s">
        <v>91</v>
      </c>
      <c r="BO5" s="156" t="s">
        <v>142</v>
      </c>
      <c r="BP5" s="156" t="s">
        <v>143</v>
      </c>
      <c r="BQ5" s="156" t="s">
        <v>92</v>
      </c>
      <c r="BR5" s="156" t="s">
        <v>93</v>
      </c>
      <c r="BS5" s="165"/>
      <c r="BT5" s="165"/>
      <c r="BU5" s="165"/>
      <c r="BV5" s="166"/>
      <c r="BW5" s="166"/>
    </row>
    <row r="6" ht="14.25" customHeight="1">
      <c r="A6" s="181"/>
      <c r="B6" s="182"/>
      <c r="C6" s="182"/>
      <c r="D6" s="183"/>
      <c r="E6" s="271"/>
      <c r="F6" s="183"/>
      <c r="G6" s="271"/>
      <c r="H6" s="272"/>
      <c r="I6" s="184"/>
      <c r="J6" s="184"/>
      <c r="K6" s="185"/>
      <c r="L6" s="183"/>
      <c r="M6" s="183"/>
      <c r="N6" s="183"/>
      <c r="O6" s="185"/>
      <c r="P6" s="185"/>
      <c r="Q6" s="185"/>
      <c r="R6" s="185"/>
      <c r="S6" s="184"/>
      <c r="T6" s="184"/>
      <c r="U6" s="184"/>
      <c r="V6" s="185"/>
      <c r="W6" s="185"/>
      <c r="X6" s="183"/>
      <c r="Y6" s="273"/>
      <c r="Z6" s="190"/>
      <c r="AA6" s="183"/>
      <c r="AB6" s="183"/>
      <c r="AC6" s="185"/>
      <c r="AD6" s="35"/>
      <c r="AE6" s="35"/>
      <c r="AF6" s="35"/>
      <c r="AG6" s="35"/>
      <c r="AH6" s="35"/>
      <c r="AI6" s="35"/>
      <c r="AJ6" s="208"/>
      <c r="AK6" s="35"/>
      <c r="AL6" s="185"/>
      <c r="AM6" s="185"/>
      <c r="AN6" s="35"/>
      <c r="AO6" s="35"/>
      <c r="AP6" s="35"/>
      <c r="AQ6" s="190"/>
      <c r="AR6" s="183"/>
      <c r="AS6" s="35"/>
      <c r="AT6" s="35"/>
      <c r="AU6" s="35"/>
      <c r="AV6" s="193"/>
      <c r="AW6" s="193"/>
      <c r="AX6" s="193"/>
      <c r="AY6" s="193"/>
      <c r="AZ6" s="35"/>
      <c r="BA6" s="35"/>
      <c r="BB6" s="190"/>
      <c r="BC6" s="183"/>
      <c r="BD6" s="185"/>
      <c r="BE6" s="185" t="s">
        <v>144</v>
      </c>
      <c r="BF6" s="185" t="s">
        <v>145</v>
      </c>
      <c r="BG6" s="185"/>
      <c r="BH6" s="185"/>
      <c r="BI6" s="185"/>
      <c r="BJ6" s="185"/>
      <c r="BK6" s="185"/>
      <c r="BL6" s="35"/>
      <c r="BM6" s="185"/>
      <c r="BN6" s="196"/>
      <c r="BO6" s="196"/>
      <c r="BP6" s="196"/>
      <c r="BQ6" s="196"/>
      <c r="BR6" s="196"/>
      <c r="BS6" s="197"/>
      <c r="BT6" s="198"/>
      <c r="BU6" s="197"/>
      <c r="BV6" s="197"/>
      <c r="BW6" s="197"/>
    </row>
    <row r="7" ht="14.25" customHeight="1">
      <c r="A7" s="181" t="s">
        <v>146</v>
      </c>
      <c r="B7" s="182">
        <v>853.0</v>
      </c>
      <c r="C7" s="182" t="s">
        <v>147</v>
      </c>
      <c r="D7" s="183">
        <v>416.0</v>
      </c>
      <c r="E7" s="271">
        <v>357.0</v>
      </c>
      <c r="F7" s="274">
        <f t="shared" ref="F7:F43" si="1">E7/D7</f>
        <v>0.8581730769</v>
      </c>
      <c r="G7" s="271">
        <v>59.0</v>
      </c>
      <c r="H7" s="272">
        <v>337.0</v>
      </c>
      <c r="I7" s="275">
        <f t="shared" ref="I7:I43" si="2">H7/D7</f>
        <v>0.8100961538</v>
      </c>
      <c r="J7" s="184">
        <v>306.0</v>
      </c>
      <c r="K7" s="185">
        <v>5.0</v>
      </c>
      <c r="L7" s="183">
        <v>2.0</v>
      </c>
      <c r="M7" s="274">
        <f t="shared" ref="M7:M43" si="3">L7/D7</f>
        <v>0.004807692308</v>
      </c>
      <c r="N7" s="183">
        <v>72.0</v>
      </c>
      <c r="O7" s="201">
        <f t="shared" ref="O7:O43" si="4">N7/D7</f>
        <v>0.1730769231</v>
      </c>
      <c r="P7" s="185">
        <v>47.0</v>
      </c>
      <c r="Q7" s="185">
        <v>0.0</v>
      </c>
      <c r="R7" s="185">
        <v>0.0</v>
      </c>
      <c r="S7" s="184">
        <v>294.0</v>
      </c>
      <c r="T7" s="275">
        <f t="shared" ref="T7:T43" si="5">S7/D7</f>
        <v>0.7067307692</v>
      </c>
      <c r="U7" s="184">
        <v>98.0</v>
      </c>
      <c r="V7" s="201">
        <f t="shared" ref="V7:V43" si="6">U7/D7</f>
        <v>0.2355769231</v>
      </c>
      <c r="W7" s="185">
        <v>24.0</v>
      </c>
      <c r="X7" s="274">
        <f t="shared" ref="X7:X43" si="7">W7/D7</f>
        <v>0.05769230769</v>
      </c>
      <c r="Y7" s="273">
        <v>5281.0</v>
      </c>
      <c r="Z7" s="190">
        <v>0.6807422836583981</v>
      </c>
      <c r="AA7" s="183">
        <v>3595.0</v>
      </c>
      <c r="AB7" s="183">
        <v>1686.0</v>
      </c>
      <c r="AC7" s="185">
        <v>4043.0</v>
      </c>
      <c r="AD7" s="208">
        <f t="shared" ref="AD7:AD43" si="8">AC7/Y7</f>
        <v>0.7655747018</v>
      </c>
      <c r="AE7" s="35">
        <v>3052.0</v>
      </c>
      <c r="AF7" s="35">
        <v>135.0</v>
      </c>
      <c r="AG7" s="35">
        <v>74.0</v>
      </c>
      <c r="AH7" s="208">
        <f t="shared" ref="AH7:AH43" si="9">AG7/Y7</f>
        <v>0.01401249763</v>
      </c>
      <c r="AI7" s="35">
        <v>1029.0</v>
      </c>
      <c r="AJ7" s="208">
        <f t="shared" ref="AJ7:AJ43" si="10">AI7/Y7</f>
        <v>0.1948494603</v>
      </c>
      <c r="AK7" s="35">
        <v>465.0</v>
      </c>
      <c r="AL7" s="185">
        <v>33.0</v>
      </c>
      <c r="AM7" s="185">
        <v>0.0</v>
      </c>
      <c r="AN7" s="35">
        <v>1785.0</v>
      </c>
      <c r="AO7" s="35">
        <v>2825.0</v>
      </c>
      <c r="AP7" s="35">
        <v>671.0</v>
      </c>
      <c r="AQ7" s="190">
        <f t="shared" ref="AQ7:AQ43" si="11">AR7/Y7</f>
        <v>0.6582086726</v>
      </c>
      <c r="AR7" s="183">
        <v>3476.0</v>
      </c>
      <c r="AS7" s="35">
        <v>2528.0</v>
      </c>
      <c r="AT7" s="35">
        <v>1878.0</v>
      </c>
      <c r="AU7" s="35">
        <v>836.0</v>
      </c>
      <c r="AV7" s="35">
        <v>366.0</v>
      </c>
      <c r="AW7" s="35">
        <v>1221.0</v>
      </c>
      <c r="AX7" s="35">
        <v>1860.0</v>
      </c>
      <c r="AY7" s="35">
        <v>395.0</v>
      </c>
      <c r="AZ7" s="35">
        <v>2288.0</v>
      </c>
      <c r="BA7" s="35">
        <v>1188.0</v>
      </c>
      <c r="BB7" s="190">
        <v>0.009615384615384616</v>
      </c>
      <c r="BC7" s="183">
        <v>4.0</v>
      </c>
      <c r="BD7" s="185">
        <v>3.0</v>
      </c>
      <c r="BE7" s="209">
        <f t="shared" ref="BE7:BE43" si="12">BD7/H7</f>
        <v>0.008902077151</v>
      </c>
      <c r="BF7" s="201">
        <f t="shared" ref="BF7:BF11" si="13">BD7/BC7</f>
        <v>0.75</v>
      </c>
      <c r="BG7" s="185">
        <v>0.0</v>
      </c>
      <c r="BH7" s="185">
        <v>0.0</v>
      </c>
      <c r="BI7" s="185">
        <v>1.0</v>
      </c>
      <c r="BJ7" s="185">
        <v>0.0</v>
      </c>
      <c r="BK7" s="185">
        <v>0.0</v>
      </c>
      <c r="BL7" s="35">
        <v>3.0</v>
      </c>
      <c r="BM7" s="185">
        <v>1.0</v>
      </c>
      <c r="BN7" s="196">
        <v>4.0</v>
      </c>
      <c r="BO7" s="196">
        <v>4.0</v>
      </c>
      <c r="BP7" s="196">
        <v>3.0</v>
      </c>
      <c r="BQ7" s="196">
        <v>0.0</v>
      </c>
      <c r="BR7" s="196">
        <v>0.0</v>
      </c>
      <c r="BS7" s="197"/>
      <c r="BT7" s="198"/>
      <c r="BU7" s="197"/>
      <c r="BV7" s="197"/>
      <c r="BW7" s="197"/>
    </row>
    <row r="8" ht="14.25" customHeight="1">
      <c r="A8" s="181" t="s">
        <v>148</v>
      </c>
      <c r="B8" s="182">
        <v>902.0</v>
      </c>
      <c r="C8" s="182" t="s">
        <v>149</v>
      </c>
      <c r="D8" s="183">
        <v>61948.0</v>
      </c>
      <c r="E8" s="271">
        <v>49810.0</v>
      </c>
      <c r="F8" s="274">
        <f t="shared" si="1"/>
        <v>0.8040614709</v>
      </c>
      <c r="G8" s="271">
        <v>12138.0</v>
      </c>
      <c r="H8" s="272">
        <v>42516.0</v>
      </c>
      <c r="I8" s="275">
        <f t="shared" si="2"/>
        <v>0.6863175567</v>
      </c>
      <c r="J8" s="184">
        <v>38544.0</v>
      </c>
      <c r="K8" s="185">
        <v>2621.0</v>
      </c>
      <c r="L8" s="183">
        <v>1542.0</v>
      </c>
      <c r="M8" s="274">
        <f t="shared" si="3"/>
        <v>0.02489184477</v>
      </c>
      <c r="N8" s="183">
        <v>15058.0</v>
      </c>
      <c r="O8" s="201">
        <f t="shared" si="4"/>
        <v>0.243074837</v>
      </c>
      <c r="P8" s="185">
        <v>7841.0</v>
      </c>
      <c r="Q8" s="183">
        <v>9.0</v>
      </c>
      <c r="R8" s="183">
        <v>202.0</v>
      </c>
      <c r="S8" s="184">
        <v>46855.0</v>
      </c>
      <c r="T8" s="275">
        <f t="shared" si="5"/>
        <v>0.756360173</v>
      </c>
      <c r="U8" s="184">
        <v>2992.0</v>
      </c>
      <c r="V8" s="201">
        <f t="shared" si="6"/>
        <v>0.048298573</v>
      </c>
      <c r="W8" s="185">
        <v>12101.0</v>
      </c>
      <c r="X8" s="274">
        <f t="shared" si="7"/>
        <v>0.195341254</v>
      </c>
      <c r="Y8" s="273">
        <v>320724.0</v>
      </c>
      <c r="Z8" s="190">
        <v>0.7052668337885534</v>
      </c>
      <c r="AA8" s="183">
        <v>226196.0</v>
      </c>
      <c r="AB8" s="183">
        <v>94528.0</v>
      </c>
      <c r="AC8" s="185">
        <v>178805.0</v>
      </c>
      <c r="AD8" s="208">
        <f t="shared" si="8"/>
        <v>0.5575042716</v>
      </c>
      <c r="AE8" s="35">
        <v>151970.0</v>
      </c>
      <c r="AF8" s="35">
        <v>12661.0</v>
      </c>
      <c r="AG8" s="35">
        <v>6146.0</v>
      </c>
      <c r="AH8" s="208">
        <f t="shared" si="9"/>
        <v>0.01916289395</v>
      </c>
      <c r="AI8" s="35">
        <v>122464.0</v>
      </c>
      <c r="AJ8" s="208">
        <f t="shared" si="10"/>
        <v>0.3818360958</v>
      </c>
      <c r="AK8" s="35">
        <v>60357.0</v>
      </c>
      <c r="AL8" s="185">
        <v>0.0</v>
      </c>
      <c r="AM8" s="185">
        <v>615.0</v>
      </c>
      <c r="AN8" s="35">
        <v>147521.0</v>
      </c>
      <c r="AO8" s="35">
        <v>39897.0</v>
      </c>
      <c r="AP8" s="35">
        <v>133306.0</v>
      </c>
      <c r="AQ8" s="190">
        <f t="shared" si="11"/>
        <v>0.5052537384</v>
      </c>
      <c r="AR8" s="183">
        <v>162047.0</v>
      </c>
      <c r="AS8" s="35">
        <v>81043.0</v>
      </c>
      <c r="AT8" s="35">
        <v>65784.0</v>
      </c>
      <c r="AU8" s="35">
        <v>71567.0</v>
      </c>
      <c r="AV8" s="35">
        <v>34052.0</v>
      </c>
      <c r="AW8" s="35">
        <v>82757.0</v>
      </c>
      <c r="AX8" s="35">
        <v>23329.0</v>
      </c>
      <c r="AY8" s="35">
        <v>55961.0</v>
      </c>
      <c r="AZ8" s="35">
        <v>106031.0</v>
      </c>
      <c r="BA8" s="35">
        <v>56016.0</v>
      </c>
      <c r="BB8" s="213">
        <v>0.19994188674372054</v>
      </c>
      <c r="BC8" s="183">
        <v>12386.0</v>
      </c>
      <c r="BD8" s="185">
        <v>9882.0</v>
      </c>
      <c r="BE8" s="214">
        <f t="shared" si="12"/>
        <v>0.2324301439</v>
      </c>
      <c r="BF8" s="201">
        <f t="shared" si="13"/>
        <v>0.7978362668</v>
      </c>
      <c r="BG8" s="185">
        <v>1527.0</v>
      </c>
      <c r="BH8" s="185">
        <v>542.0</v>
      </c>
      <c r="BI8" s="185">
        <v>380.0</v>
      </c>
      <c r="BJ8" s="185">
        <v>2.0</v>
      </c>
      <c r="BK8" s="185">
        <v>53.0</v>
      </c>
      <c r="BL8" s="35">
        <v>11516.0</v>
      </c>
      <c r="BM8" s="185">
        <v>870.0</v>
      </c>
      <c r="BN8" s="196">
        <v>12134.0</v>
      </c>
      <c r="BO8" s="196">
        <v>11833.0</v>
      </c>
      <c r="BP8" s="196">
        <v>9853.0</v>
      </c>
      <c r="BQ8" s="196">
        <v>58.0</v>
      </c>
      <c r="BR8" s="196">
        <v>194.0</v>
      </c>
      <c r="BS8" s="198"/>
      <c r="BT8" s="198"/>
      <c r="BU8" s="197"/>
      <c r="BV8" s="197"/>
      <c r="BW8" s="197"/>
    </row>
    <row r="9" ht="14.25" customHeight="1">
      <c r="A9" s="181" t="s">
        <v>150</v>
      </c>
      <c r="B9" s="182">
        <v>669.0</v>
      </c>
      <c r="C9" s="182" t="s">
        <v>151</v>
      </c>
      <c r="D9" s="183">
        <v>3603.0</v>
      </c>
      <c r="E9" s="271">
        <v>3234.0</v>
      </c>
      <c r="F9" s="274">
        <f t="shared" si="1"/>
        <v>0.8975853455</v>
      </c>
      <c r="G9" s="271">
        <v>369.0</v>
      </c>
      <c r="H9" s="272">
        <v>2945.0</v>
      </c>
      <c r="I9" s="275">
        <f t="shared" si="2"/>
        <v>0.8173744102</v>
      </c>
      <c r="J9" s="184">
        <v>2770.0</v>
      </c>
      <c r="K9" s="185">
        <v>40.0</v>
      </c>
      <c r="L9" s="183">
        <v>68.0</v>
      </c>
      <c r="M9" s="274">
        <f t="shared" si="3"/>
        <v>0.01887316125</v>
      </c>
      <c r="N9" s="183">
        <v>503.0</v>
      </c>
      <c r="O9" s="201">
        <f t="shared" si="4"/>
        <v>0.139605884</v>
      </c>
      <c r="P9" s="185">
        <v>345.0</v>
      </c>
      <c r="Q9" s="185">
        <v>0.0</v>
      </c>
      <c r="R9" s="183">
        <v>47.0</v>
      </c>
      <c r="S9" s="184">
        <v>3075.0</v>
      </c>
      <c r="T9" s="275">
        <f t="shared" si="5"/>
        <v>0.8534554538</v>
      </c>
      <c r="U9" s="184">
        <v>335.0</v>
      </c>
      <c r="V9" s="201">
        <f t="shared" si="6"/>
        <v>0.09297807383</v>
      </c>
      <c r="W9" s="185">
        <v>193.0</v>
      </c>
      <c r="X9" s="274">
        <f t="shared" si="7"/>
        <v>0.05356647238</v>
      </c>
      <c r="Y9" s="273">
        <v>23707.0</v>
      </c>
      <c r="Z9" s="190">
        <v>0.7742017125743451</v>
      </c>
      <c r="AA9" s="183">
        <v>18354.0</v>
      </c>
      <c r="AB9" s="183">
        <v>5353.0</v>
      </c>
      <c r="AC9" s="185">
        <v>15722.0</v>
      </c>
      <c r="AD9" s="208">
        <f t="shared" si="8"/>
        <v>0.6631796516</v>
      </c>
      <c r="AE9" s="35">
        <v>13054.0</v>
      </c>
      <c r="AF9" s="35">
        <v>722.0</v>
      </c>
      <c r="AG9" s="35">
        <v>1000.0</v>
      </c>
      <c r="AH9" s="208">
        <f t="shared" si="9"/>
        <v>0.04218163412</v>
      </c>
      <c r="AI9" s="35">
        <v>5903.0</v>
      </c>
      <c r="AJ9" s="208">
        <f t="shared" si="10"/>
        <v>0.2489981862</v>
      </c>
      <c r="AK9" s="35">
        <v>3789.0</v>
      </c>
      <c r="AL9" s="185">
        <v>0.0</v>
      </c>
      <c r="AM9" s="185">
        <v>360.0</v>
      </c>
      <c r="AN9" s="35">
        <v>14608.0</v>
      </c>
      <c r="AO9" s="35">
        <v>5980.0</v>
      </c>
      <c r="AP9" s="35">
        <v>3119.0</v>
      </c>
      <c r="AQ9" s="190">
        <f t="shared" si="11"/>
        <v>0.4851731556</v>
      </c>
      <c r="AR9" s="183">
        <v>11502.0</v>
      </c>
      <c r="AS9" s="35">
        <v>7028.0</v>
      </c>
      <c r="AT9" s="35">
        <v>5285.0</v>
      </c>
      <c r="AU9" s="35">
        <v>3604.0</v>
      </c>
      <c r="AV9" s="35">
        <v>2216.0</v>
      </c>
      <c r="AW9" s="35">
        <v>7086.0</v>
      </c>
      <c r="AX9" s="35">
        <v>2981.0</v>
      </c>
      <c r="AY9" s="35">
        <v>1435.0</v>
      </c>
      <c r="AZ9" s="35">
        <v>8103.0</v>
      </c>
      <c r="BA9" s="35">
        <v>3399.0</v>
      </c>
      <c r="BB9" s="213">
        <v>0.21343325006938663</v>
      </c>
      <c r="BC9" s="183">
        <v>769.0</v>
      </c>
      <c r="BD9" s="185">
        <v>769.0</v>
      </c>
      <c r="BE9" s="215">
        <f t="shared" si="12"/>
        <v>0.2611205433</v>
      </c>
      <c r="BF9" s="201">
        <f t="shared" si="13"/>
        <v>1</v>
      </c>
      <c r="BG9" s="185">
        <v>0.0</v>
      </c>
      <c r="BH9" s="185">
        <v>0.0</v>
      </c>
      <c r="BI9" s="185">
        <v>0.0</v>
      </c>
      <c r="BJ9" s="185">
        <v>0.0</v>
      </c>
      <c r="BK9" s="185">
        <v>0.0</v>
      </c>
      <c r="BL9" s="35">
        <v>768.0</v>
      </c>
      <c r="BM9" s="185">
        <v>1.0</v>
      </c>
      <c r="BN9" s="196">
        <v>769.0</v>
      </c>
      <c r="BO9" s="196">
        <v>718.0</v>
      </c>
      <c r="BP9" s="196">
        <v>769.0</v>
      </c>
      <c r="BQ9" s="196">
        <v>0.0</v>
      </c>
      <c r="BR9" s="196">
        <v>0.0</v>
      </c>
      <c r="BS9" s="198"/>
      <c r="BT9" s="198"/>
      <c r="BU9" s="198"/>
      <c r="BV9" s="197"/>
      <c r="BW9" s="197"/>
    </row>
    <row r="10" ht="14.25" customHeight="1">
      <c r="A10" s="181" t="s">
        <v>150</v>
      </c>
      <c r="B10" s="182">
        <v>848.0</v>
      </c>
      <c r="C10" s="182" t="s">
        <v>152</v>
      </c>
      <c r="D10" s="183">
        <v>60859.0</v>
      </c>
      <c r="E10" s="271">
        <v>57473.0</v>
      </c>
      <c r="F10" s="274">
        <f t="shared" si="1"/>
        <v>0.9443632002</v>
      </c>
      <c r="G10" s="271">
        <v>3386.0</v>
      </c>
      <c r="H10" s="272">
        <v>45388.0</v>
      </c>
      <c r="I10" s="275">
        <f t="shared" si="2"/>
        <v>0.7457894477</v>
      </c>
      <c r="J10" s="184">
        <v>43378.0</v>
      </c>
      <c r="K10" s="185">
        <v>102.0</v>
      </c>
      <c r="L10" s="183">
        <v>3841.0</v>
      </c>
      <c r="M10" s="274">
        <f t="shared" si="3"/>
        <v>0.06311309749</v>
      </c>
      <c r="N10" s="183">
        <v>5852.0</v>
      </c>
      <c r="O10" s="201">
        <f t="shared" si="4"/>
        <v>0.09615669005</v>
      </c>
      <c r="P10" s="185">
        <v>4801.0</v>
      </c>
      <c r="Q10" s="185">
        <v>0.0</v>
      </c>
      <c r="R10" s="183">
        <v>5676.0</v>
      </c>
      <c r="S10" s="184">
        <v>45078.0</v>
      </c>
      <c r="T10" s="275">
        <f t="shared" si="5"/>
        <v>0.7406957065</v>
      </c>
      <c r="U10" s="184">
        <v>3965.0</v>
      </c>
      <c r="V10" s="201">
        <f t="shared" si="6"/>
        <v>0.065150594</v>
      </c>
      <c r="W10" s="185">
        <v>11816.0</v>
      </c>
      <c r="X10" s="274">
        <f t="shared" si="7"/>
        <v>0.1941536995</v>
      </c>
      <c r="Y10" s="273">
        <v>352944.0</v>
      </c>
      <c r="Z10" s="190">
        <v>0.8693673783943062</v>
      </c>
      <c r="AA10" s="183">
        <v>306838.0</v>
      </c>
      <c r="AB10" s="183">
        <v>46106.0</v>
      </c>
      <c r="AC10" s="185">
        <v>217563.0</v>
      </c>
      <c r="AD10" s="208">
        <f t="shared" si="8"/>
        <v>0.6164235686</v>
      </c>
      <c r="AE10" s="35">
        <v>195169.0</v>
      </c>
      <c r="AF10" s="35">
        <v>2704.0</v>
      </c>
      <c r="AG10" s="35">
        <v>27251.0</v>
      </c>
      <c r="AH10" s="208">
        <f t="shared" si="9"/>
        <v>0.07721054898</v>
      </c>
      <c r="AI10" s="35">
        <v>86582.0</v>
      </c>
      <c r="AJ10" s="208">
        <f t="shared" si="10"/>
        <v>0.2453137042</v>
      </c>
      <c r="AK10" s="35">
        <v>65965.0</v>
      </c>
      <c r="AL10" s="185">
        <v>0.0</v>
      </c>
      <c r="AM10" s="185">
        <v>18844.0</v>
      </c>
      <c r="AN10" s="35">
        <v>163950.0</v>
      </c>
      <c r="AO10" s="35">
        <v>77642.0</v>
      </c>
      <c r="AP10" s="35">
        <v>111352.0</v>
      </c>
      <c r="AQ10" s="190">
        <f t="shared" si="11"/>
        <v>0.4101273856</v>
      </c>
      <c r="AR10" s="183">
        <v>144752.0</v>
      </c>
      <c r="AS10" s="35">
        <v>81836.0</v>
      </c>
      <c r="AT10" s="35">
        <v>68415.0</v>
      </c>
      <c r="AU10" s="35">
        <v>48176.0</v>
      </c>
      <c r="AV10" s="35">
        <v>34712.0</v>
      </c>
      <c r="AW10" s="35">
        <v>66442.0</v>
      </c>
      <c r="AX10" s="35">
        <v>40295.0</v>
      </c>
      <c r="AY10" s="35">
        <v>38015.0</v>
      </c>
      <c r="AZ10" s="35">
        <v>116350.0</v>
      </c>
      <c r="BA10" s="35">
        <v>28402.0</v>
      </c>
      <c r="BB10" s="190">
        <v>0.055226014229612715</v>
      </c>
      <c r="BC10" s="183">
        <v>3361.0</v>
      </c>
      <c r="BD10" s="185">
        <v>3072.0</v>
      </c>
      <c r="BE10" s="209">
        <f t="shared" si="12"/>
        <v>0.06768308804</v>
      </c>
      <c r="BF10" s="201">
        <f t="shared" si="13"/>
        <v>0.9140136864</v>
      </c>
      <c r="BG10" s="185">
        <v>2.0</v>
      </c>
      <c r="BH10" s="185">
        <v>16.0</v>
      </c>
      <c r="BI10" s="185">
        <v>29.0</v>
      </c>
      <c r="BJ10" s="185">
        <v>0.0</v>
      </c>
      <c r="BK10" s="185">
        <v>242.0</v>
      </c>
      <c r="BL10" s="35">
        <v>3319.0</v>
      </c>
      <c r="BM10" s="185">
        <v>42.0</v>
      </c>
      <c r="BN10" s="196">
        <v>3312.0</v>
      </c>
      <c r="BO10" s="196">
        <v>3295.0</v>
      </c>
      <c r="BP10" s="196">
        <v>3047.0</v>
      </c>
      <c r="BQ10" s="196">
        <v>3.0</v>
      </c>
      <c r="BR10" s="196">
        <v>46.0</v>
      </c>
      <c r="BS10" s="198"/>
      <c r="BT10" s="198"/>
      <c r="BU10" s="198"/>
      <c r="BV10" s="197"/>
      <c r="BW10" s="197"/>
    </row>
    <row r="11" ht="14.25" customHeight="1">
      <c r="A11" s="181" t="s">
        <v>153</v>
      </c>
      <c r="B11" s="182">
        <v>773.0</v>
      </c>
      <c r="C11" s="182" t="s">
        <v>154</v>
      </c>
      <c r="D11" s="183">
        <v>93165.0</v>
      </c>
      <c r="E11" s="271">
        <v>84040.0</v>
      </c>
      <c r="F11" s="274">
        <f t="shared" si="1"/>
        <v>0.9020554929</v>
      </c>
      <c r="G11" s="271">
        <v>9125.0</v>
      </c>
      <c r="H11" s="272">
        <v>75388.0</v>
      </c>
      <c r="I11" s="275">
        <f t="shared" si="2"/>
        <v>0.8091879998</v>
      </c>
      <c r="J11" s="184">
        <v>71256.0</v>
      </c>
      <c r="K11" s="185">
        <v>170.0</v>
      </c>
      <c r="L11" s="183">
        <v>742.0</v>
      </c>
      <c r="M11" s="274">
        <f t="shared" si="3"/>
        <v>0.0079643643</v>
      </c>
      <c r="N11" s="183">
        <v>8097.0</v>
      </c>
      <c r="O11" s="201">
        <f t="shared" si="4"/>
        <v>0.0869103204</v>
      </c>
      <c r="P11" s="185">
        <v>5458.0</v>
      </c>
      <c r="Q11" s="183">
        <v>1735.0</v>
      </c>
      <c r="R11" s="183">
        <v>7033.0</v>
      </c>
      <c r="S11" s="184">
        <v>80431.0</v>
      </c>
      <c r="T11" s="275">
        <f t="shared" si="5"/>
        <v>0.8633177695</v>
      </c>
      <c r="U11" s="184">
        <v>4978.0</v>
      </c>
      <c r="V11" s="201">
        <f t="shared" si="6"/>
        <v>0.05343208286</v>
      </c>
      <c r="W11" s="185">
        <v>7756.0</v>
      </c>
      <c r="X11" s="274">
        <f t="shared" si="7"/>
        <v>0.08325014759</v>
      </c>
      <c r="Y11" s="273">
        <v>582876.0</v>
      </c>
      <c r="Z11" s="190">
        <v>0.8422254476080676</v>
      </c>
      <c r="AA11" s="183">
        <v>490913.0</v>
      </c>
      <c r="AB11" s="183">
        <v>91963.0</v>
      </c>
      <c r="AC11" s="185">
        <v>395189.0</v>
      </c>
      <c r="AD11" s="208">
        <f t="shared" si="8"/>
        <v>0.6779984079</v>
      </c>
      <c r="AE11" s="35">
        <v>365080.0</v>
      </c>
      <c r="AF11" s="35">
        <v>2598.0</v>
      </c>
      <c r="AG11" s="35">
        <v>3585.0</v>
      </c>
      <c r="AH11" s="208">
        <f t="shared" si="9"/>
        <v>0.006150536306</v>
      </c>
      <c r="AI11" s="35">
        <v>109949.0</v>
      </c>
      <c r="AJ11" s="208">
        <f t="shared" si="10"/>
        <v>0.1886318874</v>
      </c>
      <c r="AK11" s="35">
        <v>69889.0</v>
      </c>
      <c r="AL11" s="185">
        <v>8848.0</v>
      </c>
      <c r="AM11" s="185">
        <v>62707.0</v>
      </c>
      <c r="AN11" s="35">
        <v>446493.0</v>
      </c>
      <c r="AO11" s="35">
        <v>72859.0</v>
      </c>
      <c r="AP11" s="35">
        <v>63524.0</v>
      </c>
      <c r="AQ11" s="217">
        <f t="shared" si="11"/>
        <v>0.4026859915</v>
      </c>
      <c r="AR11" s="183">
        <v>234716.0</v>
      </c>
      <c r="AS11" s="35">
        <v>158492.0</v>
      </c>
      <c r="AT11" s="35">
        <v>143920.0</v>
      </c>
      <c r="AU11" s="35">
        <v>45472.0</v>
      </c>
      <c r="AV11" s="35">
        <v>26798.0</v>
      </c>
      <c r="AW11" s="35">
        <v>190726.0</v>
      </c>
      <c r="AX11" s="35">
        <v>27637.0</v>
      </c>
      <c r="AY11" s="35">
        <v>16353.0</v>
      </c>
      <c r="AZ11" s="35">
        <v>190708.0</v>
      </c>
      <c r="BA11" s="35">
        <v>44008.0</v>
      </c>
      <c r="BB11" s="190">
        <v>0.0561047603713841</v>
      </c>
      <c r="BC11" s="183">
        <v>5227.0</v>
      </c>
      <c r="BD11" s="185">
        <v>5018.0</v>
      </c>
      <c r="BE11" s="209">
        <f t="shared" si="12"/>
        <v>0.06656231761</v>
      </c>
      <c r="BF11" s="201">
        <f t="shared" si="13"/>
        <v>0.9600153051</v>
      </c>
      <c r="BG11" s="185">
        <v>4.0</v>
      </c>
      <c r="BH11" s="185">
        <v>83.0</v>
      </c>
      <c r="BI11" s="185">
        <v>31.0</v>
      </c>
      <c r="BJ11" s="185">
        <v>45.0</v>
      </c>
      <c r="BK11" s="185">
        <v>46.0</v>
      </c>
      <c r="BL11" s="35">
        <v>4914.0</v>
      </c>
      <c r="BM11" s="185">
        <v>313.0</v>
      </c>
      <c r="BN11" s="196">
        <v>4215.0</v>
      </c>
      <c r="BO11" s="196">
        <v>3971.0</v>
      </c>
      <c r="BP11" s="196">
        <v>4047.0</v>
      </c>
      <c r="BQ11" s="196">
        <v>16.0</v>
      </c>
      <c r="BR11" s="196">
        <v>996.0</v>
      </c>
      <c r="BS11" s="198"/>
      <c r="BT11" s="198"/>
      <c r="BU11" s="198"/>
      <c r="BV11" s="197"/>
      <c r="BW11" s="197"/>
    </row>
    <row r="12" ht="14.25" customHeight="1">
      <c r="A12" s="276" t="s">
        <v>159</v>
      </c>
      <c r="B12" s="182">
        <v>927.0</v>
      </c>
      <c r="C12" s="182" t="s">
        <v>156</v>
      </c>
      <c r="D12" s="183">
        <v>233.0</v>
      </c>
      <c r="E12" s="271">
        <v>0.0</v>
      </c>
      <c r="F12" s="274">
        <f t="shared" si="1"/>
        <v>0</v>
      </c>
      <c r="G12" s="271">
        <v>233.0</v>
      </c>
      <c r="H12" s="272">
        <v>116.0</v>
      </c>
      <c r="I12" s="275">
        <f t="shared" si="2"/>
        <v>0.4978540773</v>
      </c>
      <c r="J12" s="185">
        <v>0.0</v>
      </c>
      <c r="K12" s="185">
        <v>7.0</v>
      </c>
      <c r="L12" s="183">
        <v>7.0</v>
      </c>
      <c r="M12" s="274">
        <f t="shared" si="3"/>
        <v>0.03004291845</v>
      </c>
      <c r="N12" s="183">
        <v>76.0</v>
      </c>
      <c r="O12" s="201">
        <f t="shared" si="4"/>
        <v>0.3261802575</v>
      </c>
      <c r="P12" s="218">
        <v>0.0</v>
      </c>
      <c r="Q12" s="185">
        <v>0.0</v>
      </c>
      <c r="R12" s="183">
        <v>27.0</v>
      </c>
      <c r="S12" s="184">
        <v>60.0</v>
      </c>
      <c r="T12" s="275">
        <f t="shared" si="5"/>
        <v>0.2575107296</v>
      </c>
      <c r="U12" s="184">
        <v>168.0</v>
      </c>
      <c r="V12" s="201">
        <f t="shared" si="6"/>
        <v>0.7210300429</v>
      </c>
      <c r="W12" s="185">
        <v>5.0</v>
      </c>
      <c r="X12" s="274">
        <f t="shared" si="7"/>
        <v>0.02145922747</v>
      </c>
      <c r="Y12" s="273">
        <v>9345.0</v>
      </c>
      <c r="Z12" s="190">
        <v>0.0</v>
      </c>
      <c r="AA12" s="183">
        <v>0.0</v>
      </c>
      <c r="AB12" s="183">
        <v>9345.0</v>
      </c>
      <c r="AC12" s="185">
        <v>4615.0</v>
      </c>
      <c r="AD12" s="208">
        <f t="shared" si="8"/>
        <v>0.493846977</v>
      </c>
      <c r="AE12" s="35">
        <v>0.0</v>
      </c>
      <c r="AF12" s="35">
        <v>305.0</v>
      </c>
      <c r="AG12" s="35">
        <v>283.0</v>
      </c>
      <c r="AH12" s="208">
        <f t="shared" si="9"/>
        <v>0.0302835741</v>
      </c>
      <c r="AI12" s="35">
        <v>3845.0</v>
      </c>
      <c r="AJ12" s="208">
        <f t="shared" si="10"/>
        <v>0.4114499732</v>
      </c>
      <c r="AK12" s="35">
        <v>0.0</v>
      </c>
      <c r="AL12" s="185">
        <v>0.0</v>
      </c>
      <c r="AM12" s="185">
        <v>297.0</v>
      </c>
      <c r="AN12" s="35">
        <v>857.0</v>
      </c>
      <c r="AO12" s="35">
        <v>8299.0</v>
      </c>
      <c r="AP12" s="35">
        <v>189.0</v>
      </c>
      <c r="AQ12" s="190">
        <f t="shared" si="11"/>
        <v>0.8056714821</v>
      </c>
      <c r="AR12" s="183">
        <v>7529.0</v>
      </c>
      <c r="AS12" s="35">
        <v>3270.0</v>
      </c>
      <c r="AT12" s="35">
        <v>0.0</v>
      </c>
      <c r="AU12" s="35">
        <v>3524.0</v>
      </c>
      <c r="AV12" s="35">
        <v>0.0</v>
      </c>
      <c r="AW12" s="35">
        <v>711.0</v>
      </c>
      <c r="AX12" s="35">
        <v>6674.0</v>
      </c>
      <c r="AY12" s="35">
        <v>144.0</v>
      </c>
      <c r="AZ12" s="35">
        <v>0.0</v>
      </c>
      <c r="BA12" s="35">
        <v>7529.0</v>
      </c>
      <c r="BB12" s="190">
        <v>0.0</v>
      </c>
      <c r="BC12" s="183">
        <v>0.0</v>
      </c>
      <c r="BD12" s="185">
        <v>0.0</v>
      </c>
      <c r="BE12" s="209">
        <f t="shared" si="12"/>
        <v>0</v>
      </c>
      <c r="BF12" s="201">
        <v>0.0</v>
      </c>
      <c r="BG12" s="185">
        <v>0.0</v>
      </c>
      <c r="BH12" s="185">
        <v>0.0</v>
      </c>
      <c r="BI12" s="185">
        <v>0.0</v>
      </c>
      <c r="BJ12" s="185">
        <v>0.0</v>
      </c>
      <c r="BK12" s="185">
        <v>0.0</v>
      </c>
      <c r="BL12" s="185">
        <v>0.0</v>
      </c>
      <c r="BM12" s="185">
        <v>0.0</v>
      </c>
      <c r="BN12" s="196">
        <v>0.0</v>
      </c>
      <c r="BO12" s="196">
        <v>0.0</v>
      </c>
      <c r="BP12" s="196">
        <v>0.0</v>
      </c>
      <c r="BQ12" s="196">
        <v>0.0</v>
      </c>
      <c r="BR12" s="196">
        <v>0.0</v>
      </c>
      <c r="BS12" s="198"/>
      <c r="BT12" s="198"/>
      <c r="BU12" s="198"/>
      <c r="BV12" s="197"/>
      <c r="BW12" s="197"/>
    </row>
    <row r="13" ht="14.25" customHeight="1">
      <c r="A13" s="276" t="s">
        <v>200</v>
      </c>
      <c r="B13" s="182">
        <v>843.0</v>
      </c>
      <c r="C13" s="182" t="s">
        <v>157</v>
      </c>
      <c r="D13" s="183">
        <v>56512.0</v>
      </c>
      <c r="E13" s="271">
        <v>50168.0</v>
      </c>
      <c r="F13" s="274">
        <f t="shared" si="1"/>
        <v>0.8877406569</v>
      </c>
      <c r="G13" s="271">
        <v>6344.0</v>
      </c>
      <c r="H13" s="272">
        <v>48578.0</v>
      </c>
      <c r="I13" s="275">
        <f t="shared" si="2"/>
        <v>0.8596050396</v>
      </c>
      <c r="J13" s="184">
        <v>45510.0</v>
      </c>
      <c r="K13" s="185">
        <v>165.0</v>
      </c>
      <c r="L13" s="183">
        <v>417.0</v>
      </c>
      <c r="M13" s="274">
        <f t="shared" si="3"/>
        <v>0.00737896376</v>
      </c>
      <c r="N13" s="183">
        <v>7063.0</v>
      </c>
      <c r="O13" s="201">
        <f t="shared" si="4"/>
        <v>0.1249823046</v>
      </c>
      <c r="P13" s="185">
        <v>4176.0</v>
      </c>
      <c r="Q13" s="183">
        <v>259.0</v>
      </c>
      <c r="R13" s="183">
        <v>30.0</v>
      </c>
      <c r="S13" s="184">
        <v>35875.0</v>
      </c>
      <c r="T13" s="275">
        <f t="shared" si="5"/>
        <v>0.634820923</v>
      </c>
      <c r="U13" s="184">
        <v>2522.0</v>
      </c>
      <c r="V13" s="201">
        <f t="shared" si="6"/>
        <v>0.04462768969</v>
      </c>
      <c r="W13" s="185">
        <v>18115.0</v>
      </c>
      <c r="X13" s="274">
        <f t="shared" si="7"/>
        <v>0.3205513873</v>
      </c>
      <c r="Y13" s="273">
        <v>260782.0</v>
      </c>
      <c r="Z13" s="190">
        <v>0.7540359380632099</v>
      </c>
      <c r="AA13" s="183">
        <v>196639.0</v>
      </c>
      <c r="AB13" s="183">
        <v>64143.0</v>
      </c>
      <c r="AC13" s="185">
        <v>176448.0</v>
      </c>
      <c r="AD13" s="208">
        <f t="shared" si="8"/>
        <v>0.6766111158</v>
      </c>
      <c r="AE13" s="35">
        <v>156133.0</v>
      </c>
      <c r="AF13" s="35">
        <v>2183.0</v>
      </c>
      <c r="AG13" s="35">
        <v>2503.0</v>
      </c>
      <c r="AH13" s="208">
        <f t="shared" si="9"/>
        <v>0.00959805508</v>
      </c>
      <c r="AI13" s="35">
        <v>78718.0</v>
      </c>
      <c r="AJ13" s="208">
        <f t="shared" si="10"/>
        <v>0.3018536555</v>
      </c>
      <c r="AK13" s="35">
        <v>38133.0</v>
      </c>
      <c r="AL13" s="185">
        <v>825.0</v>
      </c>
      <c r="AM13" s="185">
        <v>105.0</v>
      </c>
      <c r="AN13" s="35">
        <v>116650.0</v>
      </c>
      <c r="AO13" s="35">
        <v>50229.0</v>
      </c>
      <c r="AP13" s="35">
        <v>93903.0</v>
      </c>
      <c r="AQ13" s="190">
        <f t="shared" si="11"/>
        <v>0.4789786105</v>
      </c>
      <c r="AR13" s="183">
        <v>124909.0</v>
      </c>
      <c r="AS13" s="35">
        <v>67725.0</v>
      </c>
      <c r="AT13" s="35">
        <v>56135.0</v>
      </c>
      <c r="AU13" s="35">
        <v>54500.0</v>
      </c>
      <c r="AV13" s="35">
        <v>23355.0</v>
      </c>
      <c r="AW13" s="35">
        <v>55784.0</v>
      </c>
      <c r="AX13" s="35">
        <v>32702.0</v>
      </c>
      <c r="AY13" s="35">
        <v>36423.0</v>
      </c>
      <c r="AZ13" s="35">
        <v>80424.0</v>
      </c>
      <c r="BA13" s="35">
        <v>44485.0</v>
      </c>
      <c r="BB13" s="190">
        <v>0.09697055492638731</v>
      </c>
      <c r="BC13" s="183">
        <v>5480.0</v>
      </c>
      <c r="BD13" s="185">
        <v>5372.0</v>
      </c>
      <c r="BE13" s="209">
        <f t="shared" si="12"/>
        <v>0.1105850385</v>
      </c>
      <c r="BF13" s="201">
        <f t="shared" ref="BF13:BF24" si="14">BD13/BC13</f>
        <v>0.9802919708</v>
      </c>
      <c r="BG13" s="185">
        <v>20.0</v>
      </c>
      <c r="BH13" s="185">
        <v>23.0</v>
      </c>
      <c r="BI13" s="185">
        <v>62.0</v>
      </c>
      <c r="BJ13" s="185">
        <v>2.0</v>
      </c>
      <c r="BK13" s="185">
        <v>1.0</v>
      </c>
      <c r="BL13" s="35">
        <v>5329.0</v>
      </c>
      <c r="BM13" s="185">
        <v>151.0</v>
      </c>
      <c r="BN13" s="196">
        <v>4763.0</v>
      </c>
      <c r="BO13" s="196">
        <v>4728.0</v>
      </c>
      <c r="BP13" s="196">
        <v>4677.0</v>
      </c>
      <c r="BQ13" s="196">
        <v>4.0</v>
      </c>
      <c r="BR13" s="196">
        <v>713.0</v>
      </c>
      <c r="BS13" s="198"/>
      <c r="BT13" s="198"/>
      <c r="BU13" s="198"/>
      <c r="BV13" s="197"/>
      <c r="BW13" s="197"/>
    </row>
    <row r="14" ht="14.25" customHeight="1">
      <c r="A14" s="181" t="s">
        <v>146</v>
      </c>
      <c r="B14" s="182">
        <v>857.0</v>
      </c>
      <c r="C14" s="182" t="s">
        <v>158</v>
      </c>
      <c r="D14" s="183">
        <v>460.0</v>
      </c>
      <c r="E14" s="271">
        <v>393.0</v>
      </c>
      <c r="F14" s="274">
        <f t="shared" si="1"/>
        <v>0.8543478261</v>
      </c>
      <c r="G14" s="271">
        <v>67.0</v>
      </c>
      <c r="H14" s="272">
        <v>383.0</v>
      </c>
      <c r="I14" s="275">
        <f t="shared" si="2"/>
        <v>0.8326086957</v>
      </c>
      <c r="J14" s="184">
        <v>341.0</v>
      </c>
      <c r="K14" s="185">
        <v>5.0</v>
      </c>
      <c r="L14" s="183">
        <v>8.0</v>
      </c>
      <c r="M14" s="274">
        <f t="shared" si="3"/>
        <v>0.01739130435</v>
      </c>
      <c r="N14" s="183">
        <v>63.0</v>
      </c>
      <c r="O14" s="201">
        <f t="shared" si="4"/>
        <v>0.1369565217</v>
      </c>
      <c r="P14" s="185">
        <v>44.0</v>
      </c>
      <c r="Q14" s="183">
        <v>1.0</v>
      </c>
      <c r="R14" s="185">
        <v>0.0</v>
      </c>
      <c r="S14" s="184">
        <v>356.0</v>
      </c>
      <c r="T14" s="275">
        <f t="shared" si="5"/>
        <v>0.7739130435</v>
      </c>
      <c r="U14" s="184">
        <v>42.0</v>
      </c>
      <c r="V14" s="201">
        <f t="shared" si="6"/>
        <v>0.09130434783</v>
      </c>
      <c r="W14" s="185">
        <v>62.0</v>
      </c>
      <c r="X14" s="274">
        <f t="shared" si="7"/>
        <v>0.1347826087</v>
      </c>
      <c r="Y14" s="273">
        <v>4489.0</v>
      </c>
      <c r="Z14" s="190">
        <v>0.7188683448429495</v>
      </c>
      <c r="AA14" s="183">
        <v>3227.0</v>
      </c>
      <c r="AB14" s="183">
        <v>1262.0</v>
      </c>
      <c r="AC14" s="185">
        <v>2745.0</v>
      </c>
      <c r="AD14" s="208">
        <f t="shared" si="8"/>
        <v>0.611494765</v>
      </c>
      <c r="AE14" s="35">
        <v>2191.0</v>
      </c>
      <c r="AF14" s="35">
        <v>124.0</v>
      </c>
      <c r="AG14" s="35">
        <v>211.0</v>
      </c>
      <c r="AH14" s="208">
        <f t="shared" si="9"/>
        <v>0.04700378703</v>
      </c>
      <c r="AI14" s="35">
        <v>1384.0</v>
      </c>
      <c r="AJ14" s="208">
        <f t="shared" si="10"/>
        <v>0.3083092003</v>
      </c>
      <c r="AK14" s="35">
        <v>882.0</v>
      </c>
      <c r="AL14" s="185">
        <v>25.0</v>
      </c>
      <c r="AM14" s="185">
        <v>6552.0</v>
      </c>
      <c r="AN14" s="35">
        <v>2235.0</v>
      </c>
      <c r="AO14" s="35">
        <v>1303.0</v>
      </c>
      <c r="AP14" s="35">
        <v>951.0</v>
      </c>
      <c r="AQ14" s="190">
        <f t="shared" si="11"/>
        <v>0.6426821118</v>
      </c>
      <c r="AR14" s="183">
        <v>2885.0</v>
      </c>
      <c r="AS14" s="35">
        <v>1561.0</v>
      </c>
      <c r="AT14" s="35">
        <v>1238.0</v>
      </c>
      <c r="AU14" s="35">
        <v>1139.0</v>
      </c>
      <c r="AV14" s="35">
        <v>720.0</v>
      </c>
      <c r="AW14" s="35">
        <v>1407.0</v>
      </c>
      <c r="AX14" s="35">
        <v>991.0</v>
      </c>
      <c r="AY14" s="35">
        <v>487.0</v>
      </c>
      <c r="AZ14" s="35">
        <v>2011.0</v>
      </c>
      <c r="BA14" s="35">
        <v>874.0</v>
      </c>
      <c r="BB14" s="190">
        <v>0.002173913043478261</v>
      </c>
      <c r="BC14" s="183">
        <v>1.0</v>
      </c>
      <c r="BD14" s="185">
        <v>1.0</v>
      </c>
      <c r="BE14" s="209">
        <f t="shared" si="12"/>
        <v>0.002610966057</v>
      </c>
      <c r="BF14" s="201">
        <f t="shared" si="14"/>
        <v>1</v>
      </c>
      <c r="BG14" s="185">
        <v>0.0</v>
      </c>
      <c r="BH14" s="185">
        <v>0.0</v>
      </c>
      <c r="BI14" s="185">
        <v>0.0</v>
      </c>
      <c r="BJ14" s="185">
        <v>0.0</v>
      </c>
      <c r="BK14" s="185">
        <v>0.0</v>
      </c>
      <c r="BL14" s="185">
        <v>0.0</v>
      </c>
      <c r="BM14" s="185">
        <v>1.0</v>
      </c>
      <c r="BN14" s="226">
        <v>0.0</v>
      </c>
      <c r="BO14" s="196">
        <v>0.0</v>
      </c>
      <c r="BP14" s="196">
        <v>0.0</v>
      </c>
      <c r="BQ14" s="196">
        <v>0.0</v>
      </c>
      <c r="BR14" s="196">
        <v>1.0</v>
      </c>
      <c r="BS14" s="198"/>
      <c r="BT14" s="198"/>
      <c r="BU14" s="198"/>
      <c r="BV14" s="197"/>
      <c r="BW14" s="197"/>
    </row>
    <row r="15" ht="14.25" customHeight="1">
      <c r="A15" s="181" t="s">
        <v>159</v>
      </c>
      <c r="B15" s="182">
        <v>899.0</v>
      </c>
      <c r="C15" s="182" t="s">
        <v>160</v>
      </c>
      <c r="D15" s="183">
        <v>5619.0</v>
      </c>
      <c r="E15" s="271">
        <v>226.0</v>
      </c>
      <c r="F15" s="274">
        <f t="shared" si="1"/>
        <v>0.04022067984</v>
      </c>
      <c r="G15" s="271">
        <v>5393.0</v>
      </c>
      <c r="H15" s="272">
        <v>2708.0</v>
      </c>
      <c r="I15" s="275">
        <f t="shared" si="2"/>
        <v>0.4819362876</v>
      </c>
      <c r="J15" s="184">
        <v>141.0</v>
      </c>
      <c r="K15" s="185">
        <v>54.0</v>
      </c>
      <c r="L15" s="183">
        <v>247.0</v>
      </c>
      <c r="M15" s="274">
        <f t="shared" si="3"/>
        <v>0.04395799964</v>
      </c>
      <c r="N15" s="183">
        <v>2610.0</v>
      </c>
      <c r="O15" s="201">
        <f t="shared" si="4"/>
        <v>0.4644954618</v>
      </c>
      <c r="P15" s="185">
        <v>83.0</v>
      </c>
      <c r="Q15" s="185">
        <v>0.0</v>
      </c>
      <c r="R15" s="185">
        <v>0.0</v>
      </c>
      <c r="S15" s="184">
        <v>3391.0</v>
      </c>
      <c r="T15" s="275">
        <f t="shared" si="5"/>
        <v>0.6034881652</v>
      </c>
      <c r="U15" s="184">
        <v>1524.0</v>
      </c>
      <c r="V15" s="201">
        <f t="shared" si="6"/>
        <v>0.2712226375</v>
      </c>
      <c r="W15" s="185">
        <v>704.0</v>
      </c>
      <c r="X15" s="274">
        <f t="shared" si="7"/>
        <v>0.1252891974</v>
      </c>
      <c r="Y15" s="273">
        <v>151600.0</v>
      </c>
      <c r="Z15" s="190">
        <v>0.02595646437994723</v>
      </c>
      <c r="AA15" s="183">
        <v>3935.0</v>
      </c>
      <c r="AB15" s="183">
        <v>147665.0</v>
      </c>
      <c r="AC15" s="185">
        <v>80846.0</v>
      </c>
      <c r="AD15" s="208">
        <f t="shared" si="8"/>
        <v>0.5332849604</v>
      </c>
      <c r="AE15" s="35">
        <v>2104.0</v>
      </c>
      <c r="AF15" s="35">
        <v>3729.0</v>
      </c>
      <c r="AG15" s="35">
        <v>4614.0</v>
      </c>
      <c r="AH15" s="208">
        <f t="shared" si="9"/>
        <v>0.0304353562</v>
      </c>
      <c r="AI15" s="35">
        <v>62411.0</v>
      </c>
      <c r="AJ15" s="208">
        <f t="shared" si="10"/>
        <v>0.411682058</v>
      </c>
      <c r="AK15" s="35">
        <v>1796.0</v>
      </c>
      <c r="AL15" s="185">
        <v>0.0</v>
      </c>
      <c r="AM15" s="185">
        <v>0.0</v>
      </c>
      <c r="AN15" s="35">
        <v>36528.0</v>
      </c>
      <c r="AO15" s="35">
        <v>84161.0</v>
      </c>
      <c r="AP15" s="35">
        <v>30911.0</v>
      </c>
      <c r="AQ15" s="190">
        <f t="shared" si="11"/>
        <v>0.7351451187</v>
      </c>
      <c r="AR15" s="183">
        <v>111448.0</v>
      </c>
      <c r="AS15" s="35">
        <v>50720.0</v>
      </c>
      <c r="AT15" s="35">
        <v>1034.0</v>
      </c>
      <c r="AU15" s="35">
        <v>54984.0</v>
      </c>
      <c r="AV15" s="35">
        <v>1479.0</v>
      </c>
      <c r="AW15" s="35">
        <v>28364.0</v>
      </c>
      <c r="AX15" s="35">
        <v>66754.0</v>
      </c>
      <c r="AY15" s="35">
        <v>16330.0</v>
      </c>
      <c r="AZ15" s="35">
        <v>2535.0</v>
      </c>
      <c r="BA15" s="35">
        <v>108913.0</v>
      </c>
      <c r="BB15" s="190">
        <v>0.003381384588004983</v>
      </c>
      <c r="BC15" s="183">
        <v>19.0</v>
      </c>
      <c r="BD15" s="185">
        <v>9.0</v>
      </c>
      <c r="BE15" s="209">
        <f t="shared" si="12"/>
        <v>0.003323485968</v>
      </c>
      <c r="BF15" s="201">
        <f t="shared" si="14"/>
        <v>0.4736842105</v>
      </c>
      <c r="BG15" s="185">
        <v>0.0</v>
      </c>
      <c r="BH15" s="185">
        <v>7.0</v>
      </c>
      <c r="BI15" s="185">
        <v>3.0</v>
      </c>
      <c r="BJ15" s="185">
        <v>0.0</v>
      </c>
      <c r="BK15" s="185">
        <v>0.0</v>
      </c>
      <c r="BL15" s="185">
        <v>0.0</v>
      </c>
      <c r="BM15" s="185">
        <v>19.0</v>
      </c>
      <c r="BN15" s="196">
        <v>16.0</v>
      </c>
      <c r="BO15" s="196">
        <v>16.0</v>
      </c>
      <c r="BP15" s="196">
        <v>8.0</v>
      </c>
      <c r="BQ15" s="196">
        <v>0.0</v>
      </c>
      <c r="BR15" s="196">
        <v>3.0</v>
      </c>
      <c r="BS15" s="198"/>
      <c r="BT15" s="198"/>
      <c r="BU15" s="198"/>
      <c r="BV15" s="197"/>
      <c r="BW15" s="197"/>
    </row>
    <row r="16" ht="14.25" customHeight="1">
      <c r="A16" s="276" t="s">
        <v>155</v>
      </c>
      <c r="B16" s="182">
        <v>795.0</v>
      </c>
      <c r="C16" s="182" t="s">
        <v>161</v>
      </c>
      <c r="D16" s="183">
        <v>1510.0</v>
      </c>
      <c r="E16" s="271">
        <v>1185.0</v>
      </c>
      <c r="F16" s="274">
        <f t="shared" si="1"/>
        <v>0.7847682119</v>
      </c>
      <c r="G16" s="271">
        <v>325.0</v>
      </c>
      <c r="H16" s="272">
        <v>807.0</v>
      </c>
      <c r="I16" s="275">
        <f t="shared" si="2"/>
        <v>0.5344370861</v>
      </c>
      <c r="J16" s="184">
        <v>694.0</v>
      </c>
      <c r="K16" s="185">
        <v>7.0</v>
      </c>
      <c r="L16" s="183">
        <v>557.0</v>
      </c>
      <c r="M16" s="274">
        <f t="shared" si="3"/>
        <v>0.3688741722</v>
      </c>
      <c r="N16" s="183">
        <v>139.0</v>
      </c>
      <c r="O16" s="201">
        <f t="shared" si="4"/>
        <v>0.09205298013</v>
      </c>
      <c r="P16" s="185">
        <v>78.0</v>
      </c>
      <c r="Q16" s="185">
        <v>0.0</v>
      </c>
      <c r="R16" s="185">
        <v>0.0</v>
      </c>
      <c r="S16" s="184">
        <v>959.0</v>
      </c>
      <c r="T16" s="275">
        <f t="shared" si="5"/>
        <v>0.6350993377</v>
      </c>
      <c r="U16" s="184">
        <v>205.0</v>
      </c>
      <c r="V16" s="201">
        <f t="shared" si="6"/>
        <v>0.1357615894</v>
      </c>
      <c r="W16" s="185">
        <v>346.0</v>
      </c>
      <c r="X16" s="274">
        <f t="shared" si="7"/>
        <v>0.2291390728</v>
      </c>
      <c r="Y16" s="273">
        <v>13836.0</v>
      </c>
      <c r="Z16" s="190">
        <v>0.6576322636600174</v>
      </c>
      <c r="AA16" s="183">
        <v>9099.0</v>
      </c>
      <c r="AB16" s="183">
        <v>4737.0</v>
      </c>
      <c r="AC16" s="185">
        <v>2860.0</v>
      </c>
      <c r="AD16" s="208">
        <f t="shared" si="8"/>
        <v>0.2067071408</v>
      </c>
      <c r="AE16" s="35">
        <v>2207.0</v>
      </c>
      <c r="AF16" s="35">
        <v>209.0</v>
      </c>
      <c r="AG16" s="35">
        <v>8826.0</v>
      </c>
      <c r="AH16" s="208">
        <f t="shared" si="9"/>
        <v>0.6379011275</v>
      </c>
      <c r="AI16" s="35">
        <v>1941.0</v>
      </c>
      <c r="AJ16" s="208">
        <f t="shared" si="10"/>
        <v>0.1402862099</v>
      </c>
      <c r="AK16" s="35">
        <v>1012.0</v>
      </c>
      <c r="AL16" s="185">
        <v>0.0</v>
      </c>
      <c r="AM16" s="185">
        <v>0.0</v>
      </c>
      <c r="AN16" s="35">
        <v>3425.0</v>
      </c>
      <c r="AO16" s="35">
        <v>5052.0</v>
      </c>
      <c r="AP16" s="35">
        <v>5359.0</v>
      </c>
      <c r="AQ16" s="190">
        <f t="shared" si="11"/>
        <v>0.8050737207</v>
      </c>
      <c r="AR16" s="183">
        <v>11139.0</v>
      </c>
      <c r="AS16" s="35">
        <v>2259.0</v>
      </c>
      <c r="AT16" s="35">
        <v>1723.0</v>
      </c>
      <c r="AU16" s="35">
        <v>1770.0</v>
      </c>
      <c r="AV16" s="35">
        <v>905.0</v>
      </c>
      <c r="AW16" s="35">
        <v>3059.0</v>
      </c>
      <c r="AX16" s="35">
        <v>4259.0</v>
      </c>
      <c r="AY16" s="35">
        <v>3821.0</v>
      </c>
      <c r="AZ16" s="35">
        <v>7231.0</v>
      </c>
      <c r="BA16" s="35">
        <v>3908.0</v>
      </c>
      <c r="BB16" s="190">
        <v>0.1609271523178808</v>
      </c>
      <c r="BC16" s="183">
        <v>243.0</v>
      </c>
      <c r="BD16" s="185">
        <v>235.0</v>
      </c>
      <c r="BE16" s="215">
        <f t="shared" si="12"/>
        <v>0.2912019827</v>
      </c>
      <c r="BF16" s="201">
        <f t="shared" si="14"/>
        <v>0.9670781893</v>
      </c>
      <c r="BG16" s="185">
        <v>0.0</v>
      </c>
      <c r="BH16" s="185">
        <v>8.0</v>
      </c>
      <c r="BI16" s="185">
        <v>0.0</v>
      </c>
      <c r="BJ16" s="185">
        <v>0.0</v>
      </c>
      <c r="BK16" s="185">
        <v>0.0</v>
      </c>
      <c r="BL16" s="35">
        <v>225.0</v>
      </c>
      <c r="BM16" s="185">
        <v>18.0</v>
      </c>
      <c r="BN16" s="196">
        <v>242.0</v>
      </c>
      <c r="BO16" s="196">
        <v>242.0</v>
      </c>
      <c r="BP16" s="196">
        <v>234.0</v>
      </c>
      <c r="BQ16" s="196">
        <v>0.0</v>
      </c>
      <c r="BR16" s="196">
        <v>1.0</v>
      </c>
      <c r="BS16" s="198"/>
      <c r="BT16" s="198"/>
      <c r="BU16" s="198"/>
      <c r="BV16" s="197"/>
      <c r="BW16" s="197"/>
    </row>
    <row r="17" ht="14.25" customHeight="1">
      <c r="A17" s="181" t="s">
        <v>155</v>
      </c>
      <c r="B17" s="182">
        <v>903.0</v>
      </c>
      <c r="C17" s="182" t="s">
        <v>162</v>
      </c>
      <c r="D17" s="183">
        <v>53851.0</v>
      </c>
      <c r="E17" s="271">
        <v>41439.0</v>
      </c>
      <c r="F17" s="274">
        <f t="shared" si="1"/>
        <v>0.7695121725</v>
      </c>
      <c r="G17" s="271">
        <v>12412.0</v>
      </c>
      <c r="H17" s="272">
        <v>33536.0</v>
      </c>
      <c r="I17" s="275">
        <f t="shared" si="2"/>
        <v>0.6227553806</v>
      </c>
      <c r="J17" s="184">
        <v>30649.0</v>
      </c>
      <c r="K17" s="185">
        <v>1163.0</v>
      </c>
      <c r="L17" s="183">
        <v>5590.0</v>
      </c>
      <c r="M17" s="274">
        <f t="shared" si="3"/>
        <v>0.1038049433</v>
      </c>
      <c r="N17" s="183">
        <v>13559.0</v>
      </c>
      <c r="O17" s="201">
        <f t="shared" si="4"/>
        <v>0.2517873391</v>
      </c>
      <c r="P17" s="185">
        <v>5832.0</v>
      </c>
      <c r="Q17" s="183">
        <v>3.0</v>
      </c>
      <c r="R17" s="185">
        <v>0.0</v>
      </c>
      <c r="S17" s="184">
        <v>40342.0</v>
      </c>
      <c r="T17" s="275">
        <f t="shared" si="5"/>
        <v>0.7491411487</v>
      </c>
      <c r="U17" s="184">
        <v>3030.0</v>
      </c>
      <c r="V17" s="201">
        <f t="shared" si="6"/>
        <v>0.0562663646</v>
      </c>
      <c r="W17" s="185">
        <v>10479.0</v>
      </c>
      <c r="X17" s="274">
        <f t="shared" si="7"/>
        <v>0.1945924867</v>
      </c>
      <c r="Y17" s="273">
        <v>378118.0</v>
      </c>
      <c r="Z17" s="190">
        <v>0.6589477358919702</v>
      </c>
      <c r="AA17" s="183">
        <v>249160.0</v>
      </c>
      <c r="AB17" s="183">
        <v>128958.0</v>
      </c>
      <c r="AC17" s="185">
        <v>185185.0</v>
      </c>
      <c r="AD17" s="208">
        <f t="shared" si="8"/>
        <v>0.4897545211</v>
      </c>
      <c r="AE17" s="35">
        <v>160911.0</v>
      </c>
      <c r="AF17" s="35">
        <v>6915.0</v>
      </c>
      <c r="AG17" s="35">
        <v>47156.0</v>
      </c>
      <c r="AH17" s="208">
        <f t="shared" si="9"/>
        <v>0.1247123914</v>
      </c>
      <c r="AI17" s="35">
        <v>138832.0</v>
      </c>
      <c r="AJ17" s="208">
        <f t="shared" si="10"/>
        <v>0.3671658054</v>
      </c>
      <c r="AK17" s="35">
        <v>54357.0</v>
      </c>
      <c r="AL17" s="185">
        <v>30.0</v>
      </c>
      <c r="AM17" s="185">
        <v>0.0</v>
      </c>
      <c r="AN17" s="35">
        <v>246230.0</v>
      </c>
      <c r="AO17" s="35">
        <v>57540.0</v>
      </c>
      <c r="AP17" s="35">
        <v>74348.0</v>
      </c>
      <c r="AQ17" s="190">
        <f t="shared" si="11"/>
        <v>0.5387974124</v>
      </c>
      <c r="AR17" s="183">
        <v>203729.0</v>
      </c>
      <c r="AS17" s="35">
        <v>88253.0</v>
      </c>
      <c r="AT17" s="35">
        <v>73060.0</v>
      </c>
      <c r="AU17" s="35">
        <v>97080.0</v>
      </c>
      <c r="AV17" s="35">
        <v>35030.0</v>
      </c>
      <c r="AW17" s="35">
        <v>136879.0</v>
      </c>
      <c r="AX17" s="35">
        <v>39690.0</v>
      </c>
      <c r="AY17" s="35">
        <v>27160.0</v>
      </c>
      <c r="AZ17" s="35">
        <v>118374.0</v>
      </c>
      <c r="BA17" s="35">
        <v>85355.0</v>
      </c>
      <c r="BB17" s="190">
        <v>0.030770087834951998</v>
      </c>
      <c r="BC17" s="183">
        <v>1657.0</v>
      </c>
      <c r="BD17" s="185">
        <v>1074.0</v>
      </c>
      <c r="BE17" s="209">
        <f t="shared" si="12"/>
        <v>0.03202528626</v>
      </c>
      <c r="BF17" s="201">
        <f t="shared" si="14"/>
        <v>0.6481593241</v>
      </c>
      <c r="BG17" s="185">
        <v>65.0</v>
      </c>
      <c r="BH17" s="185">
        <v>141.0</v>
      </c>
      <c r="BI17" s="185">
        <v>377.0</v>
      </c>
      <c r="BJ17" s="185">
        <v>0.0</v>
      </c>
      <c r="BK17" s="185">
        <v>0.0</v>
      </c>
      <c r="BL17" s="35">
        <v>1363.0</v>
      </c>
      <c r="BM17" s="185">
        <v>294.0</v>
      </c>
      <c r="BN17" s="196">
        <v>1237.0</v>
      </c>
      <c r="BO17" s="196">
        <v>998.0</v>
      </c>
      <c r="BP17" s="196">
        <v>962.0</v>
      </c>
      <c r="BQ17" s="196">
        <v>22.0</v>
      </c>
      <c r="BR17" s="196">
        <v>398.0</v>
      </c>
      <c r="BS17" s="198"/>
      <c r="BT17" s="198"/>
      <c r="BU17" s="198"/>
      <c r="BV17" s="197"/>
      <c r="BW17" s="197"/>
    </row>
    <row r="18" ht="14.25" customHeight="1">
      <c r="A18" s="276" t="s">
        <v>159</v>
      </c>
      <c r="B18" s="182">
        <v>865.0</v>
      </c>
      <c r="C18" s="182" t="s">
        <v>163</v>
      </c>
      <c r="D18" s="183">
        <v>23726.0</v>
      </c>
      <c r="E18" s="271">
        <v>18008.0</v>
      </c>
      <c r="F18" s="274">
        <f t="shared" si="1"/>
        <v>0.758998567</v>
      </c>
      <c r="G18" s="271">
        <v>5718.0</v>
      </c>
      <c r="H18" s="272">
        <v>14503.0</v>
      </c>
      <c r="I18" s="275">
        <f t="shared" si="2"/>
        <v>0.6112703363</v>
      </c>
      <c r="J18" s="184">
        <v>12956.0</v>
      </c>
      <c r="K18" s="185">
        <v>59.0</v>
      </c>
      <c r="L18" s="183">
        <v>16.0</v>
      </c>
      <c r="M18" s="274">
        <f t="shared" si="3"/>
        <v>0.0006743656748</v>
      </c>
      <c r="N18" s="183">
        <v>8261.0</v>
      </c>
      <c r="O18" s="201">
        <f t="shared" si="4"/>
        <v>0.3481834275</v>
      </c>
      <c r="P18" s="185">
        <v>4519.0</v>
      </c>
      <c r="Q18" s="183">
        <v>2.0</v>
      </c>
      <c r="R18" s="183">
        <v>885.0</v>
      </c>
      <c r="S18" s="184">
        <v>12687.0</v>
      </c>
      <c r="T18" s="275">
        <f t="shared" si="5"/>
        <v>0.5347298323</v>
      </c>
      <c r="U18" s="184">
        <v>5092.0</v>
      </c>
      <c r="V18" s="201">
        <f t="shared" si="6"/>
        <v>0.214616876</v>
      </c>
      <c r="W18" s="185">
        <v>5947.0</v>
      </c>
      <c r="X18" s="274">
        <f t="shared" si="7"/>
        <v>0.2506532917</v>
      </c>
      <c r="Y18" s="273">
        <v>237594.0</v>
      </c>
      <c r="Z18" s="190">
        <v>0.6098217968467217</v>
      </c>
      <c r="AA18" s="183">
        <v>144890.0</v>
      </c>
      <c r="AB18" s="183">
        <v>92704.0</v>
      </c>
      <c r="AC18" s="185">
        <v>92120.0</v>
      </c>
      <c r="AD18" s="208">
        <f t="shared" si="8"/>
        <v>0.3877202286</v>
      </c>
      <c r="AE18" s="35">
        <v>74844.0</v>
      </c>
      <c r="AF18" s="35">
        <v>1763.0</v>
      </c>
      <c r="AG18" s="35">
        <v>323.0</v>
      </c>
      <c r="AH18" s="208">
        <f t="shared" si="9"/>
        <v>0.001359461939</v>
      </c>
      <c r="AI18" s="35">
        <v>136825.0</v>
      </c>
      <c r="AJ18" s="208">
        <f t="shared" si="10"/>
        <v>0.575877337</v>
      </c>
      <c r="AK18" s="35">
        <v>65486.0</v>
      </c>
      <c r="AL18" s="185">
        <v>11.0</v>
      </c>
      <c r="AM18" s="185">
        <v>0.0</v>
      </c>
      <c r="AN18" s="35">
        <v>69460.0</v>
      </c>
      <c r="AO18" s="35">
        <v>110277.0</v>
      </c>
      <c r="AP18" s="35">
        <v>57857.0</v>
      </c>
      <c r="AQ18" s="190">
        <f t="shared" si="11"/>
        <v>0.6252009731</v>
      </c>
      <c r="AR18" s="183">
        <v>148544.0</v>
      </c>
      <c r="AS18" s="35">
        <v>39584.0</v>
      </c>
      <c r="AT18" s="35">
        <v>28396.0</v>
      </c>
      <c r="AU18" s="35">
        <v>102675.0</v>
      </c>
      <c r="AV18" s="35">
        <v>44461.0</v>
      </c>
      <c r="AW18" s="35">
        <v>40288.0</v>
      </c>
      <c r="AX18" s="35">
        <v>81986.0</v>
      </c>
      <c r="AY18" s="35">
        <v>26270.0</v>
      </c>
      <c r="AZ18" s="35">
        <v>75831.0</v>
      </c>
      <c r="BA18" s="35">
        <v>72713.0</v>
      </c>
      <c r="BB18" s="190">
        <v>0.03544634578099975</v>
      </c>
      <c r="BC18" s="183">
        <v>841.0</v>
      </c>
      <c r="BD18" s="185">
        <v>811.0</v>
      </c>
      <c r="BE18" s="209">
        <f t="shared" si="12"/>
        <v>0.05591946494</v>
      </c>
      <c r="BF18" s="201">
        <f t="shared" si="14"/>
        <v>0.9643281807</v>
      </c>
      <c r="BG18" s="185">
        <v>0.0</v>
      </c>
      <c r="BH18" s="185">
        <v>0.0</v>
      </c>
      <c r="BI18" s="185">
        <v>24.0</v>
      </c>
      <c r="BJ18" s="185">
        <v>0.0</v>
      </c>
      <c r="BK18" s="185">
        <v>6.0</v>
      </c>
      <c r="BL18" s="35">
        <v>784.0</v>
      </c>
      <c r="BM18" s="185">
        <v>57.0</v>
      </c>
      <c r="BN18" s="196">
        <v>685.0</v>
      </c>
      <c r="BO18" s="196">
        <v>676.0</v>
      </c>
      <c r="BP18" s="196">
        <v>662.0</v>
      </c>
      <c r="BQ18" s="196">
        <v>3.0</v>
      </c>
      <c r="BR18" s="196">
        <v>153.0</v>
      </c>
      <c r="BS18" s="198"/>
      <c r="BT18" s="198"/>
      <c r="BU18" s="198"/>
      <c r="BV18" s="197"/>
      <c r="BW18" s="197"/>
    </row>
    <row r="19" ht="14.25" customHeight="1">
      <c r="A19" s="181" t="s">
        <v>159</v>
      </c>
      <c r="B19" s="182">
        <v>869.0</v>
      </c>
      <c r="C19" s="182" t="s">
        <v>164</v>
      </c>
      <c r="D19" s="183">
        <v>18028.0</v>
      </c>
      <c r="E19" s="271">
        <v>17171.0</v>
      </c>
      <c r="F19" s="274">
        <f t="shared" si="1"/>
        <v>0.9524628356</v>
      </c>
      <c r="G19" s="271">
        <v>857.0</v>
      </c>
      <c r="H19" s="272">
        <v>15325.0</v>
      </c>
      <c r="I19" s="275">
        <f t="shared" si="2"/>
        <v>0.8500665631</v>
      </c>
      <c r="J19" s="184">
        <v>14917.0</v>
      </c>
      <c r="K19" s="185">
        <v>55.0</v>
      </c>
      <c r="L19" s="185">
        <v>0.0</v>
      </c>
      <c r="M19" s="274">
        <f t="shared" si="3"/>
        <v>0</v>
      </c>
      <c r="N19" s="183">
        <v>2646.0</v>
      </c>
      <c r="O19" s="201">
        <f t="shared" si="4"/>
        <v>0.1467716885</v>
      </c>
      <c r="P19" s="185">
        <v>2212.0</v>
      </c>
      <c r="Q19" s="183">
        <v>2.0</v>
      </c>
      <c r="R19" s="185">
        <v>0.0</v>
      </c>
      <c r="S19" s="184">
        <v>11813.0</v>
      </c>
      <c r="T19" s="275">
        <f t="shared" si="5"/>
        <v>0.6552584868</v>
      </c>
      <c r="U19" s="184">
        <v>1409.0</v>
      </c>
      <c r="V19" s="201">
        <f t="shared" si="6"/>
        <v>0.07815620146</v>
      </c>
      <c r="W19" s="185">
        <v>4806.0</v>
      </c>
      <c r="X19" s="274">
        <f t="shared" si="7"/>
        <v>0.2665853117</v>
      </c>
      <c r="Y19" s="273">
        <v>100137.0</v>
      </c>
      <c r="Z19" s="190">
        <v>0.8798346265616106</v>
      </c>
      <c r="AA19" s="183">
        <v>88104.0</v>
      </c>
      <c r="AB19" s="183">
        <v>12033.0</v>
      </c>
      <c r="AC19" s="185">
        <v>66039.0</v>
      </c>
      <c r="AD19" s="208">
        <f t="shared" si="8"/>
        <v>0.6594865035</v>
      </c>
      <c r="AE19" s="35">
        <v>62192.0</v>
      </c>
      <c r="AF19" s="35">
        <v>1215.0</v>
      </c>
      <c r="AG19" s="35">
        <v>0.0</v>
      </c>
      <c r="AH19" s="208">
        <f t="shared" si="9"/>
        <v>0</v>
      </c>
      <c r="AI19" s="35">
        <v>32878.0</v>
      </c>
      <c r="AJ19" s="208">
        <f t="shared" si="10"/>
        <v>0.3283301876</v>
      </c>
      <c r="AK19" s="35">
        <v>24980.0</v>
      </c>
      <c r="AL19" s="185">
        <v>5.0</v>
      </c>
      <c r="AM19" s="185">
        <v>0.0</v>
      </c>
      <c r="AN19" s="35">
        <v>29108.0</v>
      </c>
      <c r="AO19" s="35">
        <v>25034.0</v>
      </c>
      <c r="AP19" s="35">
        <v>45995.0</v>
      </c>
      <c r="AQ19" s="190">
        <f t="shared" si="11"/>
        <v>0.5187592998</v>
      </c>
      <c r="AR19" s="183">
        <v>51947.0</v>
      </c>
      <c r="AS19" s="35">
        <v>26303.0</v>
      </c>
      <c r="AT19" s="35">
        <v>23960.0</v>
      </c>
      <c r="AU19" s="35">
        <v>25081.0</v>
      </c>
      <c r="AV19" s="35">
        <v>18815.0</v>
      </c>
      <c r="AW19" s="35">
        <v>15461.0</v>
      </c>
      <c r="AX19" s="35">
        <v>18633.0</v>
      </c>
      <c r="AY19" s="35">
        <v>17853.0</v>
      </c>
      <c r="AZ19" s="35">
        <v>43183.0</v>
      </c>
      <c r="BA19" s="35">
        <v>8764.0</v>
      </c>
      <c r="BB19" s="190">
        <v>0.1685711116041713</v>
      </c>
      <c r="BC19" s="183">
        <v>3039.0</v>
      </c>
      <c r="BD19" s="185">
        <v>3029.0</v>
      </c>
      <c r="BE19" s="215">
        <f t="shared" si="12"/>
        <v>0.1976508972</v>
      </c>
      <c r="BF19" s="201">
        <f t="shared" si="14"/>
        <v>0.9967094439</v>
      </c>
      <c r="BG19" s="185">
        <v>0.0</v>
      </c>
      <c r="BH19" s="185">
        <v>0.0</v>
      </c>
      <c r="BI19" s="185">
        <v>10.0</v>
      </c>
      <c r="BJ19" s="185">
        <v>0.0</v>
      </c>
      <c r="BK19" s="185">
        <v>0.0</v>
      </c>
      <c r="BL19" s="35">
        <v>3022.0</v>
      </c>
      <c r="BM19" s="185">
        <v>17.0</v>
      </c>
      <c r="BN19" s="196">
        <v>2981.0</v>
      </c>
      <c r="BO19" s="196">
        <v>2980.0</v>
      </c>
      <c r="BP19" s="196">
        <v>2972.0</v>
      </c>
      <c r="BQ19" s="196">
        <v>1.0</v>
      </c>
      <c r="BR19" s="196">
        <v>57.0</v>
      </c>
      <c r="BS19" s="198"/>
      <c r="BT19" s="198"/>
      <c r="BU19" s="198"/>
      <c r="BV19" s="197"/>
      <c r="BW19" s="197"/>
    </row>
    <row r="20" ht="14.25" customHeight="1">
      <c r="A20" s="181" t="s">
        <v>159</v>
      </c>
      <c r="B20" s="182">
        <v>834.0</v>
      </c>
      <c r="C20" s="182" t="s">
        <v>165</v>
      </c>
      <c r="D20" s="183">
        <v>28805.0</v>
      </c>
      <c r="E20" s="271">
        <v>25555.0</v>
      </c>
      <c r="F20" s="274">
        <f t="shared" si="1"/>
        <v>0.8871723659</v>
      </c>
      <c r="G20" s="271">
        <v>3250.0</v>
      </c>
      <c r="H20" s="272">
        <v>23117.0</v>
      </c>
      <c r="I20" s="275">
        <f t="shared" si="2"/>
        <v>0.8025342822</v>
      </c>
      <c r="J20" s="184">
        <v>21380.0</v>
      </c>
      <c r="K20" s="185">
        <v>56.0</v>
      </c>
      <c r="L20" s="183">
        <v>1.0</v>
      </c>
      <c r="M20" s="274">
        <f t="shared" si="3"/>
        <v>0.00003471619511</v>
      </c>
      <c r="N20" s="183">
        <v>5526.0</v>
      </c>
      <c r="O20" s="201">
        <f t="shared" si="4"/>
        <v>0.1918416942</v>
      </c>
      <c r="P20" s="185">
        <v>4051.0</v>
      </c>
      <c r="Q20" s="183">
        <v>70.0</v>
      </c>
      <c r="R20" s="183">
        <v>35.0</v>
      </c>
      <c r="S20" s="184">
        <v>24267.0</v>
      </c>
      <c r="T20" s="275">
        <f t="shared" si="5"/>
        <v>0.8424579066</v>
      </c>
      <c r="U20" s="184">
        <v>3398.0</v>
      </c>
      <c r="V20" s="201">
        <f t="shared" si="6"/>
        <v>0.117965631</v>
      </c>
      <c r="W20" s="185">
        <v>1140.0</v>
      </c>
      <c r="X20" s="274">
        <f t="shared" si="7"/>
        <v>0.03957646242</v>
      </c>
      <c r="Y20" s="273">
        <v>167106.0</v>
      </c>
      <c r="Z20" s="190">
        <v>0.7625698658336625</v>
      </c>
      <c r="AA20" s="183">
        <v>127430.0</v>
      </c>
      <c r="AB20" s="183">
        <v>39676.0</v>
      </c>
      <c r="AC20" s="185">
        <v>97116.0</v>
      </c>
      <c r="AD20" s="208">
        <f t="shared" si="8"/>
        <v>0.5811640516</v>
      </c>
      <c r="AE20" s="35">
        <v>83946.0</v>
      </c>
      <c r="AF20" s="35">
        <v>1232.0</v>
      </c>
      <c r="AG20" s="35">
        <v>13.0</v>
      </c>
      <c r="AH20" s="208">
        <f t="shared" si="9"/>
        <v>0.00007779493256</v>
      </c>
      <c r="AI20" s="35">
        <v>68031.0</v>
      </c>
      <c r="AJ20" s="208">
        <f t="shared" si="10"/>
        <v>0.4071128505</v>
      </c>
      <c r="AK20" s="35">
        <v>42252.0</v>
      </c>
      <c r="AL20" s="185">
        <v>528.0</v>
      </c>
      <c r="AM20" s="185">
        <v>186.0</v>
      </c>
      <c r="AN20" s="35">
        <v>94816.0</v>
      </c>
      <c r="AO20" s="35">
        <v>54973.0</v>
      </c>
      <c r="AP20" s="35">
        <v>17317.0</v>
      </c>
      <c r="AQ20" s="190">
        <f t="shared" si="11"/>
        <v>0.4806948883</v>
      </c>
      <c r="AR20" s="183">
        <v>80327.0</v>
      </c>
      <c r="AS20" s="35">
        <v>36168.0</v>
      </c>
      <c r="AT20" s="35">
        <v>27463.0</v>
      </c>
      <c r="AU20" s="35">
        <v>43190.0</v>
      </c>
      <c r="AV20" s="35">
        <v>24200.0</v>
      </c>
      <c r="AW20" s="35">
        <v>42686.0</v>
      </c>
      <c r="AX20" s="35">
        <v>31321.0</v>
      </c>
      <c r="AY20" s="35">
        <v>6320.0</v>
      </c>
      <c r="AZ20" s="35">
        <v>52245.0</v>
      </c>
      <c r="BA20" s="35">
        <v>28082.0</v>
      </c>
      <c r="BB20" s="190">
        <v>0.08498524561708037</v>
      </c>
      <c r="BC20" s="183">
        <v>2448.0</v>
      </c>
      <c r="BD20" s="185">
        <v>2413.0</v>
      </c>
      <c r="BE20" s="209">
        <f t="shared" si="12"/>
        <v>0.1043820565</v>
      </c>
      <c r="BF20" s="201">
        <f t="shared" si="14"/>
        <v>0.9857026144</v>
      </c>
      <c r="BG20" s="185">
        <v>0.0</v>
      </c>
      <c r="BH20" s="185">
        <v>0.0</v>
      </c>
      <c r="BI20" s="185">
        <v>35.0</v>
      </c>
      <c r="BJ20" s="185">
        <v>0.0</v>
      </c>
      <c r="BK20" s="185">
        <v>0.0</v>
      </c>
      <c r="BL20" s="35">
        <v>2286.0</v>
      </c>
      <c r="BM20" s="185">
        <v>162.0</v>
      </c>
      <c r="BN20" s="196">
        <v>2438.0</v>
      </c>
      <c r="BO20" s="196">
        <v>2358.0</v>
      </c>
      <c r="BP20" s="196">
        <v>2403.0</v>
      </c>
      <c r="BQ20" s="196">
        <v>1.0</v>
      </c>
      <c r="BR20" s="196">
        <v>9.0</v>
      </c>
      <c r="BS20" s="198"/>
      <c r="BT20" s="198"/>
      <c r="BU20" s="198"/>
      <c r="BV20" s="197"/>
      <c r="BW20" s="197"/>
    </row>
    <row r="21" ht="14.25" customHeight="1">
      <c r="A21" s="181" t="s">
        <v>153</v>
      </c>
      <c r="B21" s="182">
        <v>841.0</v>
      </c>
      <c r="C21" s="182" t="s">
        <v>166</v>
      </c>
      <c r="D21" s="183">
        <v>44855.0</v>
      </c>
      <c r="E21" s="271">
        <v>40780.0</v>
      </c>
      <c r="F21" s="274">
        <f t="shared" si="1"/>
        <v>0.9091517111</v>
      </c>
      <c r="G21" s="271">
        <v>4075.0</v>
      </c>
      <c r="H21" s="272">
        <v>35505.0</v>
      </c>
      <c r="I21" s="275">
        <f t="shared" si="2"/>
        <v>0.7915505518</v>
      </c>
      <c r="J21" s="184">
        <v>33836.0</v>
      </c>
      <c r="K21" s="185">
        <v>335.0</v>
      </c>
      <c r="L21" s="183">
        <v>1175.0</v>
      </c>
      <c r="M21" s="274">
        <f t="shared" si="3"/>
        <v>0.02619551889</v>
      </c>
      <c r="N21" s="183">
        <v>1559.0</v>
      </c>
      <c r="O21" s="201">
        <f t="shared" si="4"/>
        <v>0.03475643741</v>
      </c>
      <c r="P21" s="185">
        <v>1003.0</v>
      </c>
      <c r="Q21" s="183">
        <v>21.0</v>
      </c>
      <c r="R21" s="183">
        <v>6260.0</v>
      </c>
      <c r="S21" s="184">
        <v>39846.0</v>
      </c>
      <c r="T21" s="275">
        <f t="shared" si="5"/>
        <v>0.8883290603</v>
      </c>
      <c r="U21" s="184">
        <v>2874.0</v>
      </c>
      <c r="V21" s="201">
        <f t="shared" si="6"/>
        <v>0.06407312451</v>
      </c>
      <c r="W21" s="185">
        <v>2135.0</v>
      </c>
      <c r="X21" s="274">
        <f t="shared" si="7"/>
        <v>0.04759781518</v>
      </c>
      <c r="Y21" s="273">
        <v>210418.0</v>
      </c>
      <c r="Z21" s="190">
        <v>0.794361699094184</v>
      </c>
      <c r="AA21" s="183">
        <v>167148.0</v>
      </c>
      <c r="AB21" s="183">
        <v>43270.0</v>
      </c>
      <c r="AC21" s="185">
        <v>116000.0</v>
      </c>
      <c r="AD21" s="208">
        <f t="shared" si="8"/>
        <v>0.5512836354</v>
      </c>
      <c r="AE21" s="35">
        <v>107276.0</v>
      </c>
      <c r="AF21" s="35">
        <v>2856.0</v>
      </c>
      <c r="AG21" s="35">
        <v>5277.0</v>
      </c>
      <c r="AH21" s="208">
        <f t="shared" si="9"/>
        <v>0.02507865297</v>
      </c>
      <c r="AI21" s="35">
        <v>34422.0</v>
      </c>
      <c r="AJ21" s="208">
        <f t="shared" si="10"/>
        <v>0.1635886664</v>
      </c>
      <c r="AK21" s="35">
        <v>16571.0</v>
      </c>
      <c r="AL21" s="185">
        <v>153.0</v>
      </c>
      <c r="AM21" s="185">
        <v>51710.0</v>
      </c>
      <c r="AN21" s="35">
        <v>141144.0</v>
      </c>
      <c r="AO21" s="35">
        <v>49276.0</v>
      </c>
      <c r="AP21" s="35">
        <v>19998.0</v>
      </c>
      <c r="AQ21" s="190">
        <f t="shared" si="11"/>
        <v>0.3950279919</v>
      </c>
      <c r="AR21" s="183">
        <v>83121.0</v>
      </c>
      <c r="AS21" s="35">
        <v>33672.0</v>
      </c>
      <c r="AT21" s="35">
        <v>28817.0</v>
      </c>
      <c r="AU21" s="35">
        <v>18613.0</v>
      </c>
      <c r="AV21" s="35">
        <v>7356.0</v>
      </c>
      <c r="AW21" s="35">
        <v>51714.0</v>
      </c>
      <c r="AX21" s="35">
        <v>22881.0</v>
      </c>
      <c r="AY21" s="35">
        <v>8526.0</v>
      </c>
      <c r="AZ21" s="35">
        <v>56309.0</v>
      </c>
      <c r="BA21" s="35">
        <v>26812.0</v>
      </c>
      <c r="BB21" s="190">
        <v>0.16323709731356592</v>
      </c>
      <c r="BC21" s="183">
        <v>7322.0</v>
      </c>
      <c r="BD21" s="185">
        <v>6906.0</v>
      </c>
      <c r="BE21" s="215">
        <f t="shared" si="12"/>
        <v>0.1945078158</v>
      </c>
      <c r="BF21" s="201">
        <f t="shared" si="14"/>
        <v>0.9431849222</v>
      </c>
      <c r="BG21" s="185">
        <v>32.0</v>
      </c>
      <c r="BH21" s="185">
        <v>318.0</v>
      </c>
      <c r="BI21" s="185">
        <v>4.0</v>
      </c>
      <c r="BJ21" s="185">
        <v>0.0</v>
      </c>
      <c r="BK21" s="185">
        <v>62.0</v>
      </c>
      <c r="BL21" s="35">
        <v>7117.0</v>
      </c>
      <c r="BM21" s="185">
        <v>205.0</v>
      </c>
      <c r="BN21" s="196">
        <v>7246.0</v>
      </c>
      <c r="BO21" s="196">
        <v>6722.0</v>
      </c>
      <c r="BP21" s="196">
        <v>6847.0</v>
      </c>
      <c r="BQ21" s="196">
        <v>10.0</v>
      </c>
      <c r="BR21" s="196">
        <v>66.0</v>
      </c>
      <c r="BS21" s="198"/>
      <c r="BT21" s="198"/>
      <c r="BU21" s="198"/>
      <c r="BV21" s="197"/>
      <c r="BW21" s="197"/>
    </row>
    <row r="22" ht="14.25" customHeight="1">
      <c r="A22" s="276" t="s">
        <v>148</v>
      </c>
      <c r="B22" s="182">
        <v>862.0</v>
      </c>
      <c r="C22" s="182" t="s">
        <v>167</v>
      </c>
      <c r="D22" s="183">
        <v>76450.0</v>
      </c>
      <c r="E22" s="271">
        <v>54918.0</v>
      </c>
      <c r="F22" s="274">
        <f t="shared" si="1"/>
        <v>0.718351864</v>
      </c>
      <c r="G22" s="271">
        <v>21532.0</v>
      </c>
      <c r="H22" s="272">
        <v>48367.0</v>
      </c>
      <c r="I22" s="275">
        <f t="shared" si="2"/>
        <v>0.6326618705</v>
      </c>
      <c r="J22" s="184">
        <v>42090.0</v>
      </c>
      <c r="K22" s="185">
        <v>1312.0</v>
      </c>
      <c r="L22" s="183">
        <v>7110.0</v>
      </c>
      <c r="M22" s="274">
        <f t="shared" si="3"/>
        <v>0.09300196207</v>
      </c>
      <c r="N22" s="183">
        <v>19650.0</v>
      </c>
      <c r="O22" s="201">
        <f t="shared" si="4"/>
        <v>0.257030739</v>
      </c>
      <c r="P22" s="185">
        <v>8210.0</v>
      </c>
      <c r="Q22" s="183">
        <v>8.0</v>
      </c>
      <c r="R22" s="183">
        <v>3.0</v>
      </c>
      <c r="S22" s="184">
        <v>55012.0</v>
      </c>
      <c r="T22" s="275">
        <f t="shared" si="5"/>
        <v>0.7195814258</v>
      </c>
      <c r="U22" s="184">
        <v>6234.0</v>
      </c>
      <c r="V22" s="201">
        <f t="shared" si="6"/>
        <v>0.08154349248</v>
      </c>
      <c r="W22" s="185">
        <v>15204.0</v>
      </c>
      <c r="X22" s="274">
        <f t="shared" si="7"/>
        <v>0.1988750818</v>
      </c>
      <c r="Y22" s="273">
        <v>431386.0</v>
      </c>
      <c r="Z22" s="190">
        <v>0.5703824417111357</v>
      </c>
      <c r="AA22" s="183">
        <v>246055.0</v>
      </c>
      <c r="AB22" s="183">
        <v>185331.0</v>
      </c>
      <c r="AC22" s="185">
        <v>189346.0</v>
      </c>
      <c r="AD22" s="208">
        <f t="shared" si="8"/>
        <v>0.4389247681</v>
      </c>
      <c r="AE22" s="35">
        <v>154212.0</v>
      </c>
      <c r="AF22" s="35">
        <v>9711.0</v>
      </c>
      <c r="AG22" s="35">
        <v>42772.0</v>
      </c>
      <c r="AH22" s="208">
        <f t="shared" si="9"/>
        <v>0.09915018104</v>
      </c>
      <c r="AI22" s="35">
        <v>189512.0</v>
      </c>
      <c r="AJ22" s="208">
        <f t="shared" si="10"/>
        <v>0.4393095743</v>
      </c>
      <c r="AK22" s="35">
        <v>64967.0</v>
      </c>
      <c r="AL22" s="185">
        <v>33.0</v>
      </c>
      <c r="AM22" s="185">
        <v>12.0</v>
      </c>
      <c r="AN22" s="35">
        <v>210331.0</v>
      </c>
      <c r="AO22" s="35">
        <v>103336.0</v>
      </c>
      <c r="AP22" s="35">
        <v>117719.0</v>
      </c>
      <c r="AQ22" s="190">
        <f t="shared" si="11"/>
        <v>0.5823183877</v>
      </c>
      <c r="AR22" s="183">
        <v>251204.0</v>
      </c>
      <c r="AS22" s="35">
        <v>94839.0</v>
      </c>
      <c r="AT22" s="35">
        <v>72406.0</v>
      </c>
      <c r="AU22" s="35">
        <v>137732.0</v>
      </c>
      <c r="AV22" s="35">
        <v>43483.0</v>
      </c>
      <c r="AW22" s="35">
        <v>124279.0</v>
      </c>
      <c r="AX22" s="35">
        <v>79350.0</v>
      </c>
      <c r="AY22" s="35">
        <v>47575.0</v>
      </c>
      <c r="AZ22" s="35">
        <v>123328.0</v>
      </c>
      <c r="BA22" s="35">
        <v>127876.0</v>
      </c>
      <c r="BB22" s="190">
        <v>0.10265533028122956</v>
      </c>
      <c r="BC22" s="183">
        <v>7848.0</v>
      </c>
      <c r="BD22" s="185">
        <v>6727.0</v>
      </c>
      <c r="BE22" s="209">
        <f t="shared" si="12"/>
        <v>0.1390824322</v>
      </c>
      <c r="BF22" s="201">
        <f t="shared" si="14"/>
        <v>0.8571610601</v>
      </c>
      <c r="BG22" s="185">
        <v>63.0</v>
      </c>
      <c r="BH22" s="185">
        <v>350.0</v>
      </c>
      <c r="BI22" s="185">
        <v>708.0</v>
      </c>
      <c r="BJ22" s="185">
        <v>0.0</v>
      </c>
      <c r="BK22" s="185">
        <v>0.0</v>
      </c>
      <c r="BL22" s="35">
        <v>6915.0</v>
      </c>
      <c r="BM22" s="185">
        <v>933.0</v>
      </c>
      <c r="BN22" s="196">
        <v>7530.0</v>
      </c>
      <c r="BO22" s="226">
        <v>6177.0</v>
      </c>
      <c r="BP22" s="196">
        <v>6681.0</v>
      </c>
      <c r="BQ22" s="196">
        <v>43.0</v>
      </c>
      <c r="BR22" s="196">
        <v>275.0</v>
      </c>
      <c r="BS22" s="198"/>
      <c r="BT22" s="198"/>
      <c r="BU22" s="198"/>
      <c r="BV22" s="197"/>
      <c r="BW22" s="197"/>
    </row>
    <row r="23" ht="14.25" customHeight="1">
      <c r="A23" s="181" t="s">
        <v>148</v>
      </c>
      <c r="B23" s="182">
        <v>928.0</v>
      </c>
      <c r="C23" s="182" t="s">
        <v>168</v>
      </c>
      <c r="D23" s="183">
        <v>16240.0</v>
      </c>
      <c r="E23" s="271">
        <v>12917.0</v>
      </c>
      <c r="F23" s="274">
        <f t="shared" si="1"/>
        <v>0.7953817734</v>
      </c>
      <c r="G23" s="271">
        <v>3323.0</v>
      </c>
      <c r="H23" s="272">
        <v>4910.0</v>
      </c>
      <c r="I23" s="275">
        <f t="shared" si="2"/>
        <v>0.3023399015</v>
      </c>
      <c r="J23" s="184">
        <v>3999.0</v>
      </c>
      <c r="K23" s="185">
        <v>100.0</v>
      </c>
      <c r="L23" s="183">
        <v>7183.0</v>
      </c>
      <c r="M23" s="274">
        <f t="shared" si="3"/>
        <v>0.4423029557</v>
      </c>
      <c r="N23" s="183">
        <v>3164.0</v>
      </c>
      <c r="O23" s="201">
        <f t="shared" si="4"/>
        <v>0.1948275862</v>
      </c>
      <c r="P23" s="185">
        <v>2299.0</v>
      </c>
      <c r="Q23" s="183">
        <v>3.0</v>
      </c>
      <c r="R23" s="183">
        <v>880.0</v>
      </c>
      <c r="S23" s="184">
        <v>10681.0</v>
      </c>
      <c r="T23" s="275">
        <f t="shared" si="5"/>
        <v>0.6576970443</v>
      </c>
      <c r="U23" s="184">
        <v>2854.0</v>
      </c>
      <c r="V23" s="201">
        <f t="shared" si="6"/>
        <v>0.1757389163</v>
      </c>
      <c r="W23" s="185">
        <v>2705.0</v>
      </c>
      <c r="X23" s="274">
        <f t="shared" si="7"/>
        <v>0.1665640394</v>
      </c>
      <c r="Y23" s="273">
        <v>268473.0</v>
      </c>
      <c r="Z23" s="190">
        <v>0.7457397950631907</v>
      </c>
      <c r="AA23" s="183">
        <v>200211.0</v>
      </c>
      <c r="AB23" s="183">
        <v>68262.0</v>
      </c>
      <c r="AC23" s="185">
        <v>74671.0</v>
      </c>
      <c r="AD23" s="208">
        <f t="shared" si="8"/>
        <v>0.2781322517</v>
      </c>
      <c r="AE23" s="35">
        <v>58301.0</v>
      </c>
      <c r="AF23" s="35">
        <v>2168.0</v>
      </c>
      <c r="AG23" s="35">
        <v>116295.0</v>
      </c>
      <c r="AH23" s="208">
        <f t="shared" si="9"/>
        <v>0.4331720508</v>
      </c>
      <c r="AI23" s="35">
        <v>67961.0</v>
      </c>
      <c r="AJ23" s="208">
        <f t="shared" si="10"/>
        <v>0.2531390494</v>
      </c>
      <c r="AK23" s="35">
        <v>44159.0</v>
      </c>
      <c r="AL23" s="185">
        <v>20.0</v>
      </c>
      <c r="AM23" s="185">
        <v>7358.0</v>
      </c>
      <c r="AN23" s="35">
        <v>96524.0</v>
      </c>
      <c r="AO23" s="35">
        <v>86860.0</v>
      </c>
      <c r="AP23" s="35">
        <v>85089.0</v>
      </c>
      <c r="AQ23" s="190">
        <f t="shared" si="11"/>
        <v>0.7944374295</v>
      </c>
      <c r="AR23" s="183">
        <v>213285.0</v>
      </c>
      <c r="AS23" s="35">
        <v>56474.0</v>
      </c>
      <c r="AT23" s="35">
        <v>43912.0</v>
      </c>
      <c r="AU23" s="35">
        <v>61285.0</v>
      </c>
      <c r="AV23" s="35">
        <v>39508.0</v>
      </c>
      <c r="AW23" s="35">
        <v>79194.0</v>
      </c>
      <c r="AX23" s="35">
        <v>73660.0</v>
      </c>
      <c r="AY23" s="35">
        <v>60431.0</v>
      </c>
      <c r="AZ23" s="35">
        <v>156638.0</v>
      </c>
      <c r="BA23" s="35">
        <v>56647.0</v>
      </c>
      <c r="BB23" s="190">
        <v>0.019088669950738917</v>
      </c>
      <c r="BC23" s="183">
        <v>310.0</v>
      </c>
      <c r="BD23" s="185">
        <v>188.0</v>
      </c>
      <c r="BE23" s="209">
        <f t="shared" si="12"/>
        <v>0.0382892057</v>
      </c>
      <c r="BF23" s="201">
        <f t="shared" si="14"/>
        <v>0.6064516129</v>
      </c>
      <c r="BG23" s="185">
        <v>16.0</v>
      </c>
      <c r="BH23" s="185">
        <v>50.0</v>
      </c>
      <c r="BI23" s="185">
        <v>37.0</v>
      </c>
      <c r="BJ23" s="185">
        <v>0.0</v>
      </c>
      <c r="BK23" s="185">
        <v>19.0</v>
      </c>
      <c r="BL23" s="35">
        <v>290.0</v>
      </c>
      <c r="BM23" s="185">
        <v>20.0</v>
      </c>
      <c r="BN23" s="196">
        <v>295.0</v>
      </c>
      <c r="BO23" s="196">
        <v>276.0</v>
      </c>
      <c r="BP23" s="196">
        <v>185.0</v>
      </c>
      <c r="BQ23" s="196">
        <v>10.0</v>
      </c>
      <c r="BR23" s="196">
        <v>5.0</v>
      </c>
      <c r="BS23" s="198"/>
      <c r="BT23" s="198"/>
      <c r="BU23" s="198"/>
      <c r="BV23" s="197"/>
      <c r="BW23" s="197"/>
    </row>
    <row r="24" ht="14.25" customHeight="1">
      <c r="A24" s="276" t="s">
        <v>159</v>
      </c>
      <c r="B24" s="182">
        <v>844.0</v>
      </c>
      <c r="C24" s="182" t="s">
        <v>169</v>
      </c>
      <c r="D24" s="183">
        <v>978.0</v>
      </c>
      <c r="E24" s="271">
        <v>914.0</v>
      </c>
      <c r="F24" s="274">
        <f t="shared" si="1"/>
        <v>0.9345603272</v>
      </c>
      <c r="G24" s="271">
        <v>64.0</v>
      </c>
      <c r="H24" s="272">
        <v>832.0</v>
      </c>
      <c r="I24" s="275">
        <f t="shared" si="2"/>
        <v>0.8507157464</v>
      </c>
      <c r="J24" s="184">
        <v>795.0</v>
      </c>
      <c r="K24" s="185">
        <v>6.0</v>
      </c>
      <c r="L24" s="183">
        <v>28.0</v>
      </c>
      <c r="M24" s="274">
        <f t="shared" si="3"/>
        <v>0.02862985685</v>
      </c>
      <c r="N24" s="183">
        <v>112.0</v>
      </c>
      <c r="O24" s="201">
        <f t="shared" si="4"/>
        <v>0.1145194274</v>
      </c>
      <c r="P24" s="185">
        <v>85.0</v>
      </c>
      <c r="Q24" s="185">
        <v>0.0</v>
      </c>
      <c r="R24" s="185">
        <v>0.0</v>
      </c>
      <c r="S24" s="184">
        <v>806.0</v>
      </c>
      <c r="T24" s="275">
        <f t="shared" si="5"/>
        <v>0.8241308793</v>
      </c>
      <c r="U24" s="184">
        <v>100.0</v>
      </c>
      <c r="V24" s="201">
        <f t="shared" si="6"/>
        <v>0.1022494888</v>
      </c>
      <c r="W24" s="185">
        <v>72.0</v>
      </c>
      <c r="X24" s="274">
        <f t="shared" si="7"/>
        <v>0.0736196319</v>
      </c>
      <c r="Y24" s="273">
        <v>6155.0</v>
      </c>
      <c r="Z24" s="190">
        <v>0.861251015434606</v>
      </c>
      <c r="AA24" s="183">
        <v>5301.0</v>
      </c>
      <c r="AB24" s="183">
        <v>854.0</v>
      </c>
      <c r="AC24" s="185">
        <v>4361.0</v>
      </c>
      <c r="AD24" s="208">
        <f t="shared" si="8"/>
        <v>0.7085296507</v>
      </c>
      <c r="AE24" s="35">
        <v>3998.0</v>
      </c>
      <c r="AF24" s="35">
        <v>122.0</v>
      </c>
      <c r="AG24" s="35">
        <v>79.0</v>
      </c>
      <c r="AH24" s="208">
        <f t="shared" si="9"/>
        <v>0.01283509342</v>
      </c>
      <c r="AI24" s="35">
        <v>1593.0</v>
      </c>
      <c r="AJ24" s="208">
        <f t="shared" si="10"/>
        <v>0.2588139724</v>
      </c>
      <c r="AK24" s="35">
        <v>1102.0</v>
      </c>
      <c r="AL24" s="185">
        <v>0.0</v>
      </c>
      <c r="AM24" s="185">
        <v>0.0</v>
      </c>
      <c r="AN24" s="35">
        <v>3482.0</v>
      </c>
      <c r="AO24" s="35">
        <v>1663.0</v>
      </c>
      <c r="AP24" s="35">
        <v>1010.0</v>
      </c>
      <c r="AQ24" s="190">
        <f t="shared" si="11"/>
        <v>0.5072298944</v>
      </c>
      <c r="AR24" s="183">
        <v>3122.0</v>
      </c>
      <c r="AS24" s="35">
        <v>2023.0</v>
      </c>
      <c r="AT24" s="35">
        <v>1789.0</v>
      </c>
      <c r="AU24" s="35">
        <v>1058.0</v>
      </c>
      <c r="AV24" s="35">
        <v>734.0</v>
      </c>
      <c r="AW24" s="35">
        <v>1812.0</v>
      </c>
      <c r="AX24" s="35">
        <v>939.0</v>
      </c>
      <c r="AY24" s="35">
        <v>371.0</v>
      </c>
      <c r="AZ24" s="35">
        <v>2564.0</v>
      </c>
      <c r="BA24" s="35">
        <v>558.0</v>
      </c>
      <c r="BB24" s="190">
        <v>0.06952965235173825</v>
      </c>
      <c r="BC24" s="183">
        <v>68.0</v>
      </c>
      <c r="BD24" s="185">
        <v>62.0</v>
      </c>
      <c r="BE24" s="209">
        <f t="shared" si="12"/>
        <v>0.07451923077</v>
      </c>
      <c r="BF24" s="201">
        <f t="shared" si="14"/>
        <v>0.9117647059</v>
      </c>
      <c r="BG24" s="185">
        <v>0.0</v>
      </c>
      <c r="BH24" s="185">
        <v>6.0</v>
      </c>
      <c r="BI24" s="185">
        <v>0.0</v>
      </c>
      <c r="BJ24" s="185">
        <v>0.0</v>
      </c>
      <c r="BK24" s="185">
        <v>0.0</v>
      </c>
      <c r="BL24" s="35">
        <v>67.0</v>
      </c>
      <c r="BM24" s="185">
        <v>1.0</v>
      </c>
      <c r="BN24" s="196">
        <v>68.0</v>
      </c>
      <c r="BO24" s="196">
        <v>67.0</v>
      </c>
      <c r="BP24" s="196">
        <v>62.0</v>
      </c>
      <c r="BQ24" s="196">
        <v>0.0</v>
      </c>
      <c r="BR24" s="196">
        <v>0.0</v>
      </c>
      <c r="BS24" s="198"/>
      <c r="BT24" s="198"/>
      <c r="BU24" s="198"/>
      <c r="BV24" s="197"/>
      <c r="BW24" s="197"/>
    </row>
    <row r="25" ht="14.25" customHeight="1">
      <c r="A25" s="181" t="s">
        <v>146</v>
      </c>
      <c r="B25" s="182">
        <v>851.0</v>
      </c>
      <c r="C25" s="182" t="s">
        <v>170</v>
      </c>
      <c r="D25" s="183">
        <v>38.0</v>
      </c>
      <c r="E25" s="271">
        <v>38.0</v>
      </c>
      <c r="F25" s="274">
        <f t="shared" si="1"/>
        <v>1</v>
      </c>
      <c r="G25" s="271">
        <v>0.0</v>
      </c>
      <c r="H25" s="272">
        <v>36.0</v>
      </c>
      <c r="I25" s="275">
        <f t="shared" si="2"/>
        <v>0.9473684211</v>
      </c>
      <c r="J25" s="184">
        <v>36.0</v>
      </c>
      <c r="K25" s="185">
        <v>2.0</v>
      </c>
      <c r="L25" s="185">
        <v>0.0</v>
      </c>
      <c r="M25" s="274">
        <f t="shared" si="3"/>
        <v>0</v>
      </c>
      <c r="N25" s="185">
        <v>0.0</v>
      </c>
      <c r="O25" s="201">
        <f t="shared" si="4"/>
        <v>0</v>
      </c>
      <c r="P25" s="185">
        <v>0.0</v>
      </c>
      <c r="Q25" s="185">
        <v>0.0</v>
      </c>
      <c r="R25" s="185">
        <v>0.0</v>
      </c>
      <c r="S25" s="184">
        <v>25.0</v>
      </c>
      <c r="T25" s="275">
        <f t="shared" si="5"/>
        <v>0.6578947368</v>
      </c>
      <c r="U25" s="184">
        <v>4.0</v>
      </c>
      <c r="V25" s="201">
        <f t="shared" si="6"/>
        <v>0.1052631579</v>
      </c>
      <c r="W25" s="185">
        <v>9.0</v>
      </c>
      <c r="X25" s="274">
        <f t="shared" si="7"/>
        <v>0.2368421053</v>
      </c>
      <c r="Y25" s="273">
        <v>806.0</v>
      </c>
      <c r="Z25" s="190">
        <v>1.0</v>
      </c>
      <c r="AA25" s="183">
        <v>806.0</v>
      </c>
      <c r="AB25" s="183">
        <v>0.0</v>
      </c>
      <c r="AC25" s="185">
        <v>775.0</v>
      </c>
      <c r="AD25" s="208">
        <f t="shared" si="8"/>
        <v>0.9615384615</v>
      </c>
      <c r="AE25" s="35">
        <v>775.0</v>
      </c>
      <c r="AF25" s="35">
        <v>31.0</v>
      </c>
      <c r="AG25" s="35">
        <v>0.0</v>
      </c>
      <c r="AH25" s="208">
        <f t="shared" si="9"/>
        <v>0</v>
      </c>
      <c r="AI25" s="185">
        <v>0.0</v>
      </c>
      <c r="AJ25" s="208">
        <f t="shared" si="10"/>
        <v>0</v>
      </c>
      <c r="AK25" s="185">
        <v>0.0</v>
      </c>
      <c r="AL25" s="185">
        <v>0.0</v>
      </c>
      <c r="AM25" s="185">
        <v>0.0</v>
      </c>
      <c r="AN25" s="35">
        <v>397.0</v>
      </c>
      <c r="AO25" s="35">
        <v>113.0</v>
      </c>
      <c r="AP25" s="35">
        <v>296.0</v>
      </c>
      <c r="AQ25" s="190">
        <f t="shared" si="11"/>
        <v>0.5248138958</v>
      </c>
      <c r="AR25" s="183">
        <v>423.0</v>
      </c>
      <c r="AS25" s="35">
        <v>413.0</v>
      </c>
      <c r="AT25" s="35">
        <v>413.0</v>
      </c>
      <c r="AU25" s="35">
        <v>0.0</v>
      </c>
      <c r="AV25" s="35">
        <v>0.0</v>
      </c>
      <c r="AW25" s="35">
        <v>234.0</v>
      </c>
      <c r="AX25" s="35">
        <v>62.0</v>
      </c>
      <c r="AY25" s="35">
        <v>127.0</v>
      </c>
      <c r="AZ25" s="35">
        <v>423.0</v>
      </c>
      <c r="BA25" s="35">
        <v>0.0</v>
      </c>
      <c r="BB25" s="190">
        <v>0.0</v>
      </c>
      <c r="BC25" s="183">
        <v>0.0</v>
      </c>
      <c r="BD25" s="185">
        <v>0.0</v>
      </c>
      <c r="BE25" s="209">
        <f t="shared" si="12"/>
        <v>0</v>
      </c>
      <c r="BF25" s="201">
        <v>0.0</v>
      </c>
      <c r="BG25" s="185">
        <v>0.0</v>
      </c>
      <c r="BH25" s="185">
        <v>0.0</v>
      </c>
      <c r="BI25" s="185">
        <v>0.0</v>
      </c>
      <c r="BJ25" s="185">
        <v>0.0</v>
      </c>
      <c r="BK25" s="185">
        <v>0.0</v>
      </c>
      <c r="BL25" s="185">
        <v>0.0</v>
      </c>
      <c r="BM25" s="185">
        <v>0.0</v>
      </c>
      <c r="BN25" s="196">
        <v>0.0</v>
      </c>
      <c r="BO25" s="196">
        <v>0.0</v>
      </c>
      <c r="BP25" s="196">
        <v>0.0</v>
      </c>
      <c r="BQ25" s="196">
        <v>0.0</v>
      </c>
      <c r="BR25" s="196">
        <v>0.0</v>
      </c>
      <c r="BS25" s="198"/>
      <c r="BT25" s="198"/>
      <c r="BU25" s="198"/>
      <c r="BV25" s="197"/>
      <c r="BW25" s="197"/>
    </row>
    <row r="26" ht="14.25" customHeight="1">
      <c r="A26" s="276" t="s">
        <v>200</v>
      </c>
      <c r="B26" s="182">
        <v>771.0</v>
      </c>
      <c r="C26" s="182" t="s">
        <v>171</v>
      </c>
      <c r="D26" s="183">
        <v>125582.0</v>
      </c>
      <c r="E26" s="271">
        <v>104010.0</v>
      </c>
      <c r="F26" s="274">
        <f t="shared" si="1"/>
        <v>0.82822379</v>
      </c>
      <c r="G26" s="271">
        <v>21572.0</v>
      </c>
      <c r="H26" s="272">
        <v>66809.0</v>
      </c>
      <c r="I26" s="275">
        <f t="shared" si="2"/>
        <v>0.5319950311</v>
      </c>
      <c r="J26" s="184">
        <v>62221.0</v>
      </c>
      <c r="K26" s="185">
        <v>25886.0</v>
      </c>
      <c r="L26" s="183">
        <v>740.0</v>
      </c>
      <c r="M26" s="274">
        <f t="shared" si="3"/>
        <v>0.005892564221</v>
      </c>
      <c r="N26" s="183">
        <v>30345.0</v>
      </c>
      <c r="O26" s="201">
        <f t="shared" si="4"/>
        <v>0.2416349477</v>
      </c>
      <c r="P26" s="185">
        <v>16222.0</v>
      </c>
      <c r="Q26" s="183">
        <v>1755.0</v>
      </c>
      <c r="R26" s="183">
        <v>47.0</v>
      </c>
      <c r="S26" s="184">
        <v>100003.0</v>
      </c>
      <c r="T26" s="275">
        <f t="shared" si="5"/>
        <v>0.7963163511</v>
      </c>
      <c r="U26" s="184">
        <v>11382.0</v>
      </c>
      <c r="V26" s="201">
        <f t="shared" si="6"/>
        <v>0.09063400806</v>
      </c>
      <c r="W26" s="185">
        <v>14197.0</v>
      </c>
      <c r="X26" s="274">
        <f t="shared" si="7"/>
        <v>0.1130496409</v>
      </c>
      <c r="Y26" s="273">
        <v>601208.0</v>
      </c>
      <c r="Z26" s="190">
        <v>0.6466647150403854</v>
      </c>
      <c r="AA26" s="183">
        <v>388780.0</v>
      </c>
      <c r="AB26" s="183">
        <v>212428.0</v>
      </c>
      <c r="AC26" s="185">
        <v>233190.0</v>
      </c>
      <c r="AD26" s="208">
        <f t="shared" si="8"/>
        <v>0.3878690902</v>
      </c>
      <c r="AE26" s="35">
        <v>194392.0</v>
      </c>
      <c r="AF26" s="35">
        <v>70745.0</v>
      </c>
      <c r="AG26" s="35">
        <v>4591.0</v>
      </c>
      <c r="AH26" s="208">
        <f t="shared" si="9"/>
        <v>0.007636292265</v>
      </c>
      <c r="AI26" s="35">
        <v>286418.0</v>
      </c>
      <c r="AJ26" s="208">
        <f t="shared" si="10"/>
        <v>0.4764041729</v>
      </c>
      <c r="AK26" s="35">
        <v>130328.0</v>
      </c>
      <c r="AL26" s="185">
        <v>6155.0</v>
      </c>
      <c r="AM26" s="185">
        <v>109.0</v>
      </c>
      <c r="AN26" s="35">
        <v>352425.0</v>
      </c>
      <c r="AO26" s="35">
        <v>178987.0</v>
      </c>
      <c r="AP26" s="35">
        <v>69796.0</v>
      </c>
      <c r="AQ26" s="190">
        <f t="shared" si="11"/>
        <v>0.4710965257</v>
      </c>
      <c r="AR26" s="183">
        <v>283227.0</v>
      </c>
      <c r="AS26" s="35">
        <v>80715.0</v>
      </c>
      <c r="AT26" s="35">
        <v>58626.0</v>
      </c>
      <c r="AU26" s="35">
        <v>172927.0</v>
      </c>
      <c r="AV26" s="35">
        <v>67759.0</v>
      </c>
      <c r="AW26" s="35">
        <v>154711.0</v>
      </c>
      <c r="AX26" s="35">
        <v>103827.0</v>
      </c>
      <c r="AY26" s="35">
        <v>24689.0</v>
      </c>
      <c r="AZ26" s="35">
        <v>145998.0</v>
      </c>
      <c r="BA26" s="35">
        <v>137229.0</v>
      </c>
      <c r="BB26" s="190">
        <v>0.13242343647975027</v>
      </c>
      <c r="BC26" s="183">
        <v>16630.0</v>
      </c>
      <c r="BD26" s="185">
        <v>8769.0</v>
      </c>
      <c r="BE26" s="209">
        <f t="shared" si="12"/>
        <v>0.1312547711</v>
      </c>
      <c r="BF26" s="201">
        <f t="shared" ref="BF26:BF32" si="15">BD26/BC26</f>
        <v>0.5273000601</v>
      </c>
      <c r="BG26" s="185">
        <v>6663.0</v>
      </c>
      <c r="BH26" s="185">
        <v>155.0</v>
      </c>
      <c r="BI26" s="185">
        <v>920.0</v>
      </c>
      <c r="BJ26" s="185">
        <v>109.0</v>
      </c>
      <c r="BK26" s="185">
        <v>14.0</v>
      </c>
      <c r="BL26" s="35">
        <v>15919.0</v>
      </c>
      <c r="BM26" s="185">
        <v>711.0</v>
      </c>
      <c r="BN26" s="196">
        <v>14057.0</v>
      </c>
      <c r="BO26" s="196">
        <v>12325.0</v>
      </c>
      <c r="BP26" s="196">
        <v>6840.0</v>
      </c>
      <c r="BQ26" s="196">
        <v>51.0</v>
      </c>
      <c r="BR26" s="196">
        <v>2522.0</v>
      </c>
      <c r="BS26" s="198"/>
      <c r="BT26" s="198"/>
      <c r="BU26" s="198"/>
      <c r="BV26" s="197"/>
      <c r="BW26" s="197"/>
    </row>
    <row r="27" ht="14.25" customHeight="1">
      <c r="A27" s="276" t="s">
        <v>155</v>
      </c>
      <c r="B27" s="182">
        <v>928.0</v>
      </c>
      <c r="C27" s="182" t="s">
        <v>172</v>
      </c>
      <c r="D27" s="183">
        <v>109605.0</v>
      </c>
      <c r="E27" s="271">
        <v>81903.0</v>
      </c>
      <c r="F27" s="274">
        <f t="shared" si="1"/>
        <v>0.7472560558</v>
      </c>
      <c r="G27" s="271">
        <v>27702.0</v>
      </c>
      <c r="H27" s="272">
        <v>64873.0</v>
      </c>
      <c r="I27" s="275">
        <f t="shared" si="2"/>
        <v>0.5918799325</v>
      </c>
      <c r="J27" s="184">
        <v>58698.0</v>
      </c>
      <c r="K27" s="185">
        <v>766.0</v>
      </c>
      <c r="L27" s="183">
        <v>24037.0</v>
      </c>
      <c r="M27" s="274">
        <f t="shared" si="3"/>
        <v>0.2193056886</v>
      </c>
      <c r="N27" s="183">
        <v>19268.0</v>
      </c>
      <c r="O27" s="201">
        <f t="shared" si="4"/>
        <v>0.1757948999</v>
      </c>
      <c r="P27" s="185">
        <v>8794.0</v>
      </c>
      <c r="Q27" s="183">
        <v>41.0</v>
      </c>
      <c r="R27" s="183">
        <v>620.0</v>
      </c>
      <c r="S27" s="184">
        <v>80882.0</v>
      </c>
      <c r="T27" s="275">
        <f t="shared" si="5"/>
        <v>0.7379407874</v>
      </c>
      <c r="U27" s="184">
        <v>17512.0</v>
      </c>
      <c r="V27" s="201">
        <f t="shared" si="6"/>
        <v>0.159773733</v>
      </c>
      <c r="W27" s="185">
        <v>11211.0</v>
      </c>
      <c r="X27" s="274">
        <f t="shared" si="7"/>
        <v>0.1022854797</v>
      </c>
      <c r="Y27" s="273">
        <v>748589.0</v>
      </c>
      <c r="Z27" s="190">
        <v>0.5652634489686597</v>
      </c>
      <c r="AA27" s="183">
        <v>423150.0</v>
      </c>
      <c r="AB27" s="183">
        <v>325439.0</v>
      </c>
      <c r="AC27" s="185">
        <v>232553.0</v>
      </c>
      <c r="AD27" s="208">
        <f t="shared" si="8"/>
        <v>0.3106551125</v>
      </c>
      <c r="AE27" s="35">
        <v>194241.0</v>
      </c>
      <c r="AF27" s="35">
        <v>9956.0</v>
      </c>
      <c r="AG27" s="35">
        <v>286748.0</v>
      </c>
      <c r="AH27" s="208">
        <f t="shared" si="9"/>
        <v>0.3830513139</v>
      </c>
      <c r="AI27" s="35">
        <v>215300.0</v>
      </c>
      <c r="AJ27" s="208">
        <f t="shared" si="10"/>
        <v>0.2876077527</v>
      </c>
      <c r="AK27" s="35">
        <v>80508.0</v>
      </c>
      <c r="AL27" s="185">
        <v>136.0</v>
      </c>
      <c r="AM27" s="185">
        <v>3896.0</v>
      </c>
      <c r="AN27" s="35">
        <v>361387.0</v>
      </c>
      <c r="AO27" s="35">
        <v>306358.0</v>
      </c>
      <c r="AP27" s="35">
        <v>80844.0</v>
      </c>
      <c r="AQ27" s="190">
        <f t="shared" si="11"/>
        <v>0.4841014228</v>
      </c>
      <c r="AR27" s="183">
        <v>362393.0</v>
      </c>
      <c r="AS27" s="35">
        <v>90649.0</v>
      </c>
      <c r="AT27" s="35">
        <v>68295.0</v>
      </c>
      <c r="AU27" s="35">
        <v>161743.0</v>
      </c>
      <c r="AV27" s="35">
        <v>52976.0</v>
      </c>
      <c r="AW27" s="35">
        <v>182038.0</v>
      </c>
      <c r="AX27" s="35">
        <v>146129.0</v>
      </c>
      <c r="AY27" s="35">
        <v>34226.0</v>
      </c>
      <c r="AZ27" s="35">
        <v>155744.0</v>
      </c>
      <c r="BA27" s="35">
        <v>206649.0</v>
      </c>
      <c r="BB27" s="190">
        <v>0.05388440308380092</v>
      </c>
      <c r="BC27" s="183">
        <v>5906.0</v>
      </c>
      <c r="BD27" s="185">
        <v>5541.0</v>
      </c>
      <c r="BE27" s="209">
        <f t="shared" si="12"/>
        <v>0.08541303778</v>
      </c>
      <c r="BF27" s="201">
        <f t="shared" si="15"/>
        <v>0.9381984423</v>
      </c>
      <c r="BG27" s="185">
        <v>3.0</v>
      </c>
      <c r="BH27" s="185">
        <v>182.0</v>
      </c>
      <c r="BI27" s="185">
        <v>170.0</v>
      </c>
      <c r="BJ27" s="185">
        <v>2.0</v>
      </c>
      <c r="BK27" s="185">
        <v>8.0</v>
      </c>
      <c r="BL27" s="35">
        <v>5426.0</v>
      </c>
      <c r="BM27" s="185">
        <v>480.0</v>
      </c>
      <c r="BN27" s="196">
        <v>5740.0</v>
      </c>
      <c r="BO27" s="196">
        <v>5475.0</v>
      </c>
      <c r="BP27" s="196">
        <v>5521.0</v>
      </c>
      <c r="BQ27" s="196">
        <v>27.0</v>
      </c>
      <c r="BR27" s="196">
        <v>139.0</v>
      </c>
      <c r="BS27" s="198"/>
      <c r="BT27" s="198"/>
      <c r="BU27" s="198"/>
      <c r="BV27" s="197"/>
      <c r="BW27" s="197"/>
    </row>
    <row r="28" ht="14.25" customHeight="1">
      <c r="A28" s="181" t="s">
        <v>150</v>
      </c>
      <c r="B28" s="182">
        <v>741.0</v>
      </c>
      <c r="C28" s="182" t="s">
        <v>173</v>
      </c>
      <c r="D28" s="183">
        <v>4617.0</v>
      </c>
      <c r="E28" s="271">
        <v>3989.0</v>
      </c>
      <c r="F28" s="274">
        <f t="shared" si="1"/>
        <v>0.86398094</v>
      </c>
      <c r="G28" s="271">
        <v>628.0</v>
      </c>
      <c r="H28" s="272">
        <v>1900.0</v>
      </c>
      <c r="I28" s="275">
        <f t="shared" si="2"/>
        <v>0.4115226337</v>
      </c>
      <c r="J28" s="184">
        <v>1658.0</v>
      </c>
      <c r="K28" s="185">
        <v>989.0</v>
      </c>
      <c r="L28" s="183">
        <v>583.0</v>
      </c>
      <c r="M28" s="274">
        <f t="shared" si="3"/>
        <v>0.1262724713</v>
      </c>
      <c r="N28" s="183">
        <v>1010.0</v>
      </c>
      <c r="O28" s="201">
        <f t="shared" si="4"/>
        <v>0.2187567685</v>
      </c>
      <c r="P28" s="185">
        <v>745.0</v>
      </c>
      <c r="Q28" s="183">
        <v>17.0</v>
      </c>
      <c r="R28" s="183">
        <v>118.0</v>
      </c>
      <c r="S28" s="184">
        <v>3348.0</v>
      </c>
      <c r="T28" s="275">
        <f t="shared" si="5"/>
        <v>0.7251461988</v>
      </c>
      <c r="U28" s="184">
        <v>1006.0</v>
      </c>
      <c r="V28" s="201">
        <f t="shared" si="6"/>
        <v>0.217890405</v>
      </c>
      <c r="W28" s="185">
        <v>263.0</v>
      </c>
      <c r="X28" s="274">
        <f t="shared" si="7"/>
        <v>0.05696339614</v>
      </c>
      <c r="Y28" s="273">
        <v>42684.0</v>
      </c>
      <c r="Z28" s="190">
        <v>0.7700309249367444</v>
      </c>
      <c r="AA28" s="183">
        <v>32868.0</v>
      </c>
      <c r="AB28" s="183">
        <v>9816.0</v>
      </c>
      <c r="AC28" s="185">
        <v>12184.0</v>
      </c>
      <c r="AD28" s="208">
        <f t="shared" si="8"/>
        <v>0.2854465373</v>
      </c>
      <c r="AE28" s="35">
        <v>8975.0</v>
      </c>
      <c r="AF28" s="35">
        <v>5853.0</v>
      </c>
      <c r="AG28" s="35">
        <v>2616.0</v>
      </c>
      <c r="AH28" s="208">
        <f t="shared" si="9"/>
        <v>0.06128760191</v>
      </c>
      <c r="AI28" s="35">
        <v>20784.0</v>
      </c>
      <c r="AJ28" s="208">
        <f t="shared" si="10"/>
        <v>0.4869271858</v>
      </c>
      <c r="AK28" s="35">
        <v>15002.0</v>
      </c>
      <c r="AL28" s="185">
        <v>113.0</v>
      </c>
      <c r="AM28" s="185">
        <v>1134.0</v>
      </c>
      <c r="AN28" s="35">
        <v>17914.0</v>
      </c>
      <c r="AO28" s="35">
        <v>20543.0</v>
      </c>
      <c r="AP28" s="35">
        <v>4227.0</v>
      </c>
      <c r="AQ28" s="190">
        <f t="shared" si="11"/>
        <v>0.5430606316</v>
      </c>
      <c r="AR28" s="183">
        <v>23180.0</v>
      </c>
      <c r="AS28" s="35">
        <v>6422.0</v>
      </c>
      <c r="AT28" s="35">
        <v>4516.0</v>
      </c>
      <c r="AU28" s="35">
        <v>11915.0</v>
      </c>
      <c r="AV28" s="35">
        <v>8490.0</v>
      </c>
      <c r="AW28" s="35">
        <v>9523.0</v>
      </c>
      <c r="AX28" s="35">
        <v>11541.0</v>
      </c>
      <c r="AY28" s="35">
        <v>2116.0</v>
      </c>
      <c r="AZ28" s="35">
        <v>17393.0</v>
      </c>
      <c r="BA28" s="35">
        <v>5787.0</v>
      </c>
      <c r="BB28" s="190">
        <v>0.03205544726012562</v>
      </c>
      <c r="BC28" s="183">
        <v>148.0</v>
      </c>
      <c r="BD28" s="185">
        <v>117.0</v>
      </c>
      <c r="BE28" s="209">
        <f t="shared" si="12"/>
        <v>0.06157894737</v>
      </c>
      <c r="BF28" s="201">
        <f t="shared" si="15"/>
        <v>0.7905405405</v>
      </c>
      <c r="BG28" s="185">
        <v>14.0</v>
      </c>
      <c r="BH28" s="185">
        <v>16.0</v>
      </c>
      <c r="BI28" s="185">
        <v>0.0</v>
      </c>
      <c r="BJ28" s="185">
        <v>0.0</v>
      </c>
      <c r="BK28" s="185">
        <v>1.0</v>
      </c>
      <c r="BL28" s="35">
        <v>143.0</v>
      </c>
      <c r="BM28" s="185">
        <v>5.0</v>
      </c>
      <c r="BN28" s="196">
        <v>147.0</v>
      </c>
      <c r="BO28" s="196">
        <v>133.0</v>
      </c>
      <c r="BP28" s="196">
        <v>116.0</v>
      </c>
      <c r="BQ28" s="196">
        <v>1.0</v>
      </c>
      <c r="BR28" s="196">
        <v>0.0</v>
      </c>
      <c r="BS28" s="198"/>
      <c r="BT28" s="198"/>
      <c r="BU28" s="198"/>
      <c r="BV28" s="197"/>
      <c r="BW28" s="197"/>
    </row>
    <row r="29" ht="14.25" customHeight="1">
      <c r="A29" s="276" t="s">
        <v>150</v>
      </c>
      <c r="B29" s="182">
        <v>716.0</v>
      </c>
      <c r="C29" s="182" t="s">
        <v>174</v>
      </c>
      <c r="D29" s="183">
        <v>14600.0</v>
      </c>
      <c r="E29" s="271">
        <v>13545.0</v>
      </c>
      <c r="F29" s="274">
        <f t="shared" si="1"/>
        <v>0.927739726</v>
      </c>
      <c r="G29" s="271">
        <v>1055.0</v>
      </c>
      <c r="H29" s="272">
        <v>7765.0</v>
      </c>
      <c r="I29" s="275">
        <f t="shared" si="2"/>
        <v>0.5318493151</v>
      </c>
      <c r="J29" s="184">
        <v>7413.0</v>
      </c>
      <c r="K29" s="185">
        <v>18.0</v>
      </c>
      <c r="L29" s="183">
        <v>4172.0</v>
      </c>
      <c r="M29" s="274">
        <f t="shared" si="3"/>
        <v>0.2857534247</v>
      </c>
      <c r="N29" s="183">
        <v>2120.0</v>
      </c>
      <c r="O29" s="201">
        <f t="shared" si="4"/>
        <v>0.1452054795</v>
      </c>
      <c r="P29" s="185">
        <v>1867.0</v>
      </c>
      <c r="Q29" s="185">
        <v>0.0</v>
      </c>
      <c r="R29" s="183">
        <v>525.0</v>
      </c>
      <c r="S29" s="184">
        <v>9452.0</v>
      </c>
      <c r="T29" s="275">
        <f t="shared" si="5"/>
        <v>0.6473972603</v>
      </c>
      <c r="U29" s="184">
        <v>221.0</v>
      </c>
      <c r="V29" s="201">
        <f t="shared" si="6"/>
        <v>0.0151369863</v>
      </c>
      <c r="W29" s="185">
        <v>4927.0</v>
      </c>
      <c r="X29" s="274">
        <f t="shared" si="7"/>
        <v>0.3374657534</v>
      </c>
      <c r="Y29" s="273">
        <v>55160.0</v>
      </c>
      <c r="Z29" s="190">
        <v>0.8552393038433648</v>
      </c>
      <c r="AA29" s="183">
        <v>47175.0</v>
      </c>
      <c r="AB29" s="183">
        <v>7985.0</v>
      </c>
      <c r="AC29" s="185">
        <v>22549.0</v>
      </c>
      <c r="AD29" s="208">
        <f t="shared" si="8"/>
        <v>0.4087926033</v>
      </c>
      <c r="AE29" s="35">
        <v>20796.0</v>
      </c>
      <c r="AF29" s="35">
        <v>352.0</v>
      </c>
      <c r="AG29" s="35">
        <v>17658.0</v>
      </c>
      <c r="AH29" s="208">
        <f t="shared" si="9"/>
        <v>0.3201232777</v>
      </c>
      <c r="AI29" s="35">
        <v>12209.0</v>
      </c>
      <c r="AJ29" s="208">
        <f t="shared" si="10"/>
        <v>0.221337926</v>
      </c>
      <c r="AK29" s="35">
        <v>9441.0</v>
      </c>
      <c r="AL29" s="185">
        <v>0.0</v>
      </c>
      <c r="AM29" s="185">
        <v>2392.0</v>
      </c>
      <c r="AN29" s="35">
        <v>25965.0</v>
      </c>
      <c r="AO29" s="35">
        <v>3923.0</v>
      </c>
      <c r="AP29" s="35">
        <v>25272.0</v>
      </c>
      <c r="AQ29" s="190">
        <f t="shared" si="11"/>
        <v>0.5842458303</v>
      </c>
      <c r="AR29" s="183">
        <v>32227.0</v>
      </c>
      <c r="AS29" s="35">
        <v>12093.0</v>
      </c>
      <c r="AT29" s="35">
        <v>10819.0</v>
      </c>
      <c r="AU29" s="35">
        <v>8572.0</v>
      </c>
      <c r="AV29" s="35">
        <v>6364.0</v>
      </c>
      <c r="AW29" s="35">
        <v>16189.0</v>
      </c>
      <c r="AX29" s="35">
        <v>2839.0</v>
      </c>
      <c r="AY29" s="35">
        <v>13199.0</v>
      </c>
      <c r="AZ29" s="35">
        <v>26456.0</v>
      </c>
      <c r="BA29" s="35">
        <v>5771.0</v>
      </c>
      <c r="BB29" s="190">
        <v>0.09041095890410959</v>
      </c>
      <c r="BC29" s="183">
        <v>1320.0</v>
      </c>
      <c r="BD29" s="185">
        <v>549.0</v>
      </c>
      <c r="BE29" s="209">
        <f t="shared" si="12"/>
        <v>0.07070186735</v>
      </c>
      <c r="BF29" s="201">
        <f t="shared" si="15"/>
        <v>0.4159090909</v>
      </c>
      <c r="BG29" s="185">
        <v>0.0</v>
      </c>
      <c r="BH29" s="185">
        <v>557.0</v>
      </c>
      <c r="BI29" s="185">
        <v>177.0</v>
      </c>
      <c r="BJ29" s="185">
        <v>0.0</v>
      </c>
      <c r="BK29" s="185">
        <v>37.0</v>
      </c>
      <c r="BL29" s="35">
        <v>1290.0</v>
      </c>
      <c r="BM29" s="185">
        <v>30.0</v>
      </c>
      <c r="BN29" s="196">
        <v>1260.0</v>
      </c>
      <c r="BO29" s="196">
        <v>1257.0</v>
      </c>
      <c r="BP29" s="196">
        <v>542.0</v>
      </c>
      <c r="BQ29" s="196">
        <v>0.0</v>
      </c>
      <c r="BR29" s="196">
        <v>60.0</v>
      </c>
      <c r="BS29" s="198"/>
      <c r="BT29" s="198"/>
      <c r="BU29" s="198"/>
      <c r="BV29" s="197"/>
      <c r="BW29" s="197"/>
    </row>
    <row r="30" ht="14.25" customHeight="1">
      <c r="A30" s="181" t="s">
        <v>150</v>
      </c>
      <c r="B30" s="182">
        <v>765.0</v>
      </c>
      <c r="C30" s="182" t="s">
        <v>175</v>
      </c>
      <c r="D30" s="183">
        <v>3911.0</v>
      </c>
      <c r="E30" s="271">
        <v>2646.0</v>
      </c>
      <c r="F30" s="274">
        <f t="shared" si="1"/>
        <v>0.6765533112</v>
      </c>
      <c r="G30" s="271">
        <v>1265.0</v>
      </c>
      <c r="H30" s="272">
        <v>2545.0</v>
      </c>
      <c r="I30" s="275">
        <f t="shared" si="2"/>
        <v>0.6507287139</v>
      </c>
      <c r="J30" s="184">
        <v>1915.0</v>
      </c>
      <c r="K30" s="185">
        <v>18.0</v>
      </c>
      <c r="L30" s="183">
        <v>230.0</v>
      </c>
      <c r="M30" s="274">
        <f t="shared" si="3"/>
        <v>0.05880848888</v>
      </c>
      <c r="N30" s="183">
        <v>1034.0</v>
      </c>
      <c r="O30" s="201">
        <f t="shared" si="4"/>
        <v>0.2643825109</v>
      </c>
      <c r="P30" s="185">
        <v>551.0</v>
      </c>
      <c r="Q30" s="185">
        <v>0.0</v>
      </c>
      <c r="R30" s="183">
        <v>84.0</v>
      </c>
      <c r="S30" s="184">
        <v>1919.0</v>
      </c>
      <c r="T30" s="275">
        <f t="shared" si="5"/>
        <v>0.4906673485</v>
      </c>
      <c r="U30" s="184">
        <v>16.0</v>
      </c>
      <c r="V30" s="201">
        <f t="shared" si="6"/>
        <v>0.004091025313</v>
      </c>
      <c r="W30" s="185">
        <v>1976.0</v>
      </c>
      <c r="X30" s="274">
        <f t="shared" si="7"/>
        <v>0.5052416262</v>
      </c>
      <c r="Y30" s="273">
        <v>23366.0</v>
      </c>
      <c r="Z30" s="190">
        <v>0.5716853547890097</v>
      </c>
      <c r="AA30" s="183">
        <v>13358.0</v>
      </c>
      <c r="AB30" s="183">
        <v>10008.0</v>
      </c>
      <c r="AC30" s="185">
        <v>13357.0</v>
      </c>
      <c r="AD30" s="208">
        <f t="shared" si="8"/>
        <v>0.5716425576</v>
      </c>
      <c r="AE30" s="35">
        <v>8831.0</v>
      </c>
      <c r="AF30" s="35">
        <v>244.0</v>
      </c>
      <c r="AG30" s="35">
        <v>1850.0</v>
      </c>
      <c r="AH30" s="208">
        <f t="shared" si="9"/>
        <v>0.07917486947</v>
      </c>
      <c r="AI30" s="35">
        <v>7375.0</v>
      </c>
      <c r="AJ30" s="208">
        <f t="shared" si="10"/>
        <v>0.3156295472</v>
      </c>
      <c r="AK30" s="35">
        <v>3348.0</v>
      </c>
      <c r="AL30" s="185">
        <v>0.0</v>
      </c>
      <c r="AM30" s="185">
        <v>540.0</v>
      </c>
      <c r="AN30" s="35">
        <v>10166.0</v>
      </c>
      <c r="AO30" s="35">
        <v>267.0</v>
      </c>
      <c r="AP30" s="35">
        <v>12933.0</v>
      </c>
      <c r="AQ30" s="190">
        <f t="shared" si="11"/>
        <v>0.4711974664</v>
      </c>
      <c r="AR30" s="183">
        <v>11010.0</v>
      </c>
      <c r="AS30" s="35">
        <v>5831.0</v>
      </c>
      <c r="AT30" s="35">
        <v>3415.0</v>
      </c>
      <c r="AU30" s="35">
        <v>4086.0</v>
      </c>
      <c r="AV30" s="35">
        <v>1675.0</v>
      </c>
      <c r="AW30" s="35">
        <v>5714.0</v>
      </c>
      <c r="AX30" s="35">
        <v>138.0</v>
      </c>
      <c r="AY30" s="35">
        <v>5158.0</v>
      </c>
      <c r="AZ30" s="35">
        <v>5497.0</v>
      </c>
      <c r="BA30" s="35">
        <v>5513.0</v>
      </c>
      <c r="BB30" s="190">
        <v>0.015597034006647916</v>
      </c>
      <c r="BC30" s="183">
        <v>61.0</v>
      </c>
      <c r="BD30" s="185">
        <v>50.0</v>
      </c>
      <c r="BE30" s="209">
        <f t="shared" si="12"/>
        <v>0.01964636542</v>
      </c>
      <c r="BF30" s="201">
        <f t="shared" si="15"/>
        <v>0.8196721311</v>
      </c>
      <c r="BG30" s="185">
        <v>0.0</v>
      </c>
      <c r="BH30" s="185">
        <v>0.0</v>
      </c>
      <c r="BI30" s="185">
        <v>9.0</v>
      </c>
      <c r="BJ30" s="185">
        <v>0.0</v>
      </c>
      <c r="BK30" s="185">
        <v>2.0</v>
      </c>
      <c r="BL30" s="35">
        <v>48.0</v>
      </c>
      <c r="BM30" s="185">
        <v>13.0</v>
      </c>
      <c r="BN30" s="196">
        <v>50.0</v>
      </c>
      <c r="BO30" s="196">
        <v>49.0</v>
      </c>
      <c r="BP30" s="196">
        <v>43.0</v>
      </c>
      <c r="BQ30" s="196">
        <v>0.0</v>
      </c>
      <c r="BR30" s="196">
        <v>11.0</v>
      </c>
      <c r="BS30" s="198"/>
      <c r="BT30" s="198"/>
      <c r="BU30" s="198"/>
      <c r="BV30" s="197"/>
      <c r="BW30" s="197"/>
    </row>
    <row r="31" ht="14.25" customHeight="1">
      <c r="A31" s="181" t="s">
        <v>150</v>
      </c>
      <c r="B31" s="182">
        <v>728.0</v>
      </c>
      <c r="C31" s="182" t="s">
        <v>176</v>
      </c>
      <c r="D31" s="183">
        <v>2718.0</v>
      </c>
      <c r="E31" s="271">
        <v>2182.0</v>
      </c>
      <c r="F31" s="274">
        <f t="shared" si="1"/>
        <v>0.8027961737</v>
      </c>
      <c r="G31" s="271">
        <v>536.0</v>
      </c>
      <c r="H31" s="272">
        <v>1939.0</v>
      </c>
      <c r="I31" s="275">
        <f t="shared" si="2"/>
        <v>0.7133922001</v>
      </c>
      <c r="J31" s="184">
        <v>1728.0</v>
      </c>
      <c r="K31" s="185">
        <v>21.0</v>
      </c>
      <c r="L31" s="185">
        <v>0.0</v>
      </c>
      <c r="M31" s="274">
        <f t="shared" si="3"/>
        <v>0</v>
      </c>
      <c r="N31" s="183">
        <v>757.0</v>
      </c>
      <c r="O31" s="201">
        <f t="shared" si="4"/>
        <v>0.278513613</v>
      </c>
      <c r="P31" s="185">
        <v>437.0</v>
      </c>
      <c r="Q31" s="185">
        <v>0.0</v>
      </c>
      <c r="R31" s="183">
        <v>1.0</v>
      </c>
      <c r="S31" s="184">
        <v>1922.0</v>
      </c>
      <c r="T31" s="275">
        <f t="shared" si="5"/>
        <v>0.7071376012</v>
      </c>
      <c r="U31" s="184">
        <v>596.0</v>
      </c>
      <c r="V31" s="201">
        <f t="shared" si="6"/>
        <v>0.2192788815</v>
      </c>
      <c r="W31" s="185">
        <v>200.0</v>
      </c>
      <c r="X31" s="274">
        <f t="shared" si="7"/>
        <v>0.07358351729</v>
      </c>
      <c r="Y31" s="273">
        <v>31402.0</v>
      </c>
      <c r="Z31" s="190">
        <v>0.6628240239475193</v>
      </c>
      <c r="AA31" s="183">
        <v>20814.0</v>
      </c>
      <c r="AB31" s="183">
        <v>10588.0</v>
      </c>
      <c r="AC31" s="185">
        <v>18726.0</v>
      </c>
      <c r="AD31" s="208">
        <f t="shared" si="8"/>
        <v>0.5963314439</v>
      </c>
      <c r="AE31" s="35">
        <v>14925.0</v>
      </c>
      <c r="AF31" s="35">
        <v>331.0</v>
      </c>
      <c r="AG31" s="35">
        <v>0.0</v>
      </c>
      <c r="AH31" s="208">
        <f t="shared" si="9"/>
        <v>0</v>
      </c>
      <c r="AI31" s="35">
        <v>12339.0</v>
      </c>
      <c r="AJ31" s="208">
        <f t="shared" si="10"/>
        <v>0.3929367556</v>
      </c>
      <c r="AK31" s="35">
        <v>5634.0</v>
      </c>
      <c r="AL31" s="185">
        <v>0.0</v>
      </c>
      <c r="AM31" s="185">
        <v>6.0</v>
      </c>
      <c r="AN31" s="35">
        <v>15413.0</v>
      </c>
      <c r="AO31" s="35">
        <v>12530.0</v>
      </c>
      <c r="AP31" s="35">
        <v>3459.0</v>
      </c>
      <c r="AQ31" s="190">
        <f t="shared" si="11"/>
        <v>0.5556333991</v>
      </c>
      <c r="AR31" s="183">
        <v>17448.0</v>
      </c>
      <c r="AS31" s="35">
        <v>9340.0</v>
      </c>
      <c r="AT31" s="35">
        <v>6866.0</v>
      </c>
      <c r="AU31" s="35">
        <v>7996.0</v>
      </c>
      <c r="AV31" s="35">
        <v>3461.0</v>
      </c>
      <c r="AW31" s="35">
        <v>8233.0</v>
      </c>
      <c r="AX31" s="35">
        <v>7602.0</v>
      </c>
      <c r="AY31" s="35">
        <v>1613.0</v>
      </c>
      <c r="AZ31" s="35">
        <v>10399.0</v>
      </c>
      <c r="BA31" s="35">
        <v>7049.0</v>
      </c>
      <c r="BB31" s="190">
        <v>0.010669610007358351</v>
      </c>
      <c r="BC31" s="183">
        <v>29.0</v>
      </c>
      <c r="BD31" s="185">
        <v>28.0</v>
      </c>
      <c r="BE31" s="209">
        <f t="shared" si="12"/>
        <v>0.01444043321</v>
      </c>
      <c r="BF31" s="201">
        <f t="shared" si="15"/>
        <v>0.9655172414</v>
      </c>
      <c r="BG31" s="185">
        <v>0.0</v>
      </c>
      <c r="BH31" s="185">
        <v>0.0</v>
      </c>
      <c r="BI31" s="185">
        <v>1.0</v>
      </c>
      <c r="BJ31" s="185">
        <v>0.0</v>
      </c>
      <c r="BK31" s="185">
        <v>0.0</v>
      </c>
      <c r="BL31" s="35">
        <v>28.0</v>
      </c>
      <c r="BM31" s="185">
        <v>1.0</v>
      </c>
      <c r="BN31" s="196">
        <v>28.0</v>
      </c>
      <c r="BO31" s="196">
        <v>28.0</v>
      </c>
      <c r="BP31" s="196">
        <v>28.0</v>
      </c>
      <c r="BQ31" s="196">
        <v>0.0</v>
      </c>
      <c r="BR31" s="196">
        <v>1.0</v>
      </c>
      <c r="BS31" s="198"/>
      <c r="BT31" s="198"/>
      <c r="BU31" s="198"/>
      <c r="BV31" s="197"/>
      <c r="BW31" s="197"/>
    </row>
    <row r="32" ht="14.25" customHeight="1">
      <c r="A32" s="181" t="s">
        <v>153</v>
      </c>
      <c r="B32" s="182">
        <v>877.0</v>
      </c>
      <c r="C32" s="182" t="s">
        <v>177</v>
      </c>
      <c r="D32" s="183">
        <v>62291.0</v>
      </c>
      <c r="E32" s="271">
        <v>57186.0</v>
      </c>
      <c r="F32" s="274">
        <f t="shared" si="1"/>
        <v>0.9180459456</v>
      </c>
      <c r="G32" s="271">
        <v>5105.0</v>
      </c>
      <c r="H32" s="272">
        <v>47287.0</v>
      </c>
      <c r="I32" s="275">
        <f t="shared" si="2"/>
        <v>0.7591305325</v>
      </c>
      <c r="J32" s="184">
        <v>44756.0</v>
      </c>
      <c r="K32" s="185">
        <v>1785.0</v>
      </c>
      <c r="L32" s="183">
        <v>5807.0</v>
      </c>
      <c r="M32" s="274">
        <f t="shared" si="3"/>
        <v>0.09322374019</v>
      </c>
      <c r="N32" s="183">
        <v>6104.0</v>
      </c>
      <c r="O32" s="201">
        <f t="shared" si="4"/>
        <v>0.09799168419</v>
      </c>
      <c r="P32" s="185">
        <v>4405.0</v>
      </c>
      <c r="Q32" s="183">
        <v>22.0</v>
      </c>
      <c r="R32" s="183">
        <v>1286.0</v>
      </c>
      <c r="S32" s="184">
        <v>47876.0</v>
      </c>
      <c r="T32" s="275">
        <f t="shared" si="5"/>
        <v>0.7685861521</v>
      </c>
      <c r="U32" s="184">
        <v>3945.0</v>
      </c>
      <c r="V32" s="201">
        <f t="shared" si="6"/>
        <v>0.06333178148</v>
      </c>
      <c r="W32" s="185">
        <v>10470.0</v>
      </c>
      <c r="X32" s="274">
        <f t="shared" si="7"/>
        <v>0.1680820664</v>
      </c>
      <c r="Y32" s="273">
        <v>331336.0</v>
      </c>
      <c r="Z32" s="190">
        <v>0.8371984933722867</v>
      </c>
      <c r="AA32" s="183">
        <v>277394.0</v>
      </c>
      <c r="AB32" s="183">
        <v>53942.0</v>
      </c>
      <c r="AC32" s="185">
        <v>200077.0</v>
      </c>
      <c r="AD32" s="208">
        <f t="shared" si="8"/>
        <v>0.6038492648</v>
      </c>
      <c r="AE32" s="35">
        <v>183577.0</v>
      </c>
      <c r="AF32" s="35">
        <v>11284.0</v>
      </c>
      <c r="AG32" s="35">
        <v>32204.0</v>
      </c>
      <c r="AH32" s="208">
        <f t="shared" si="9"/>
        <v>0.09719438878</v>
      </c>
      <c r="AI32" s="35">
        <v>78872.0</v>
      </c>
      <c r="AJ32" s="208">
        <f t="shared" si="10"/>
        <v>0.2380423498</v>
      </c>
      <c r="AK32" s="35">
        <v>49072.0</v>
      </c>
      <c r="AL32" s="185">
        <v>100.0</v>
      </c>
      <c r="AM32" s="185">
        <v>8799.0</v>
      </c>
      <c r="AN32" s="35">
        <v>202445.0</v>
      </c>
      <c r="AO32" s="35">
        <v>60466.0</v>
      </c>
      <c r="AP32" s="35">
        <v>68425.0</v>
      </c>
      <c r="AQ32" s="190">
        <f t="shared" si="11"/>
        <v>0.4644650747</v>
      </c>
      <c r="AR32" s="183">
        <v>153894.0</v>
      </c>
      <c r="AS32" s="35">
        <v>88604.0</v>
      </c>
      <c r="AT32" s="35">
        <v>76746.0</v>
      </c>
      <c r="AU32" s="35">
        <v>48129.0</v>
      </c>
      <c r="AV32" s="35">
        <v>28212.0</v>
      </c>
      <c r="AW32" s="35">
        <v>100122.0</v>
      </c>
      <c r="AX32" s="35">
        <v>31906.0</v>
      </c>
      <c r="AY32" s="35">
        <v>21866.0</v>
      </c>
      <c r="AZ32" s="35">
        <v>117943.0</v>
      </c>
      <c r="BA32" s="35">
        <v>35951.0</v>
      </c>
      <c r="BB32" s="190">
        <v>0.050874123067537844</v>
      </c>
      <c r="BC32" s="183">
        <v>3169.0</v>
      </c>
      <c r="BD32" s="185">
        <v>2337.0</v>
      </c>
      <c r="BE32" s="209">
        <f t="shared" si="12"/>
        <v>0.04942161693</v>
      </c>
      <c r="BF32" s="201">
        <f t="shared" si="15"/>
        <v>0.7374566109</v>
      </c>
      <c r="BG32" s="185">
        <v>81.0</v>
      </c>
      <c r="BH32" s="185">
        <v>662.0</v>
      </c>
      <c r="BI32" s="185">
        <v>51.0</v>
      </c>
      <c r="BJ32" s="185">
        <v>0.0</v>
      </c>
      <c r="BK32" s="185">
        <v>38.0</v>
      </c>
      <c r="BL32" s="35">
        <v>2979.0</v>
      </c>
      <c r="BM32" s="185">
        <v>190.0</v>
      </c>
      <c r="BN32" s="196">
        <v>2461.0</v>
      </c>
      <c r="BO32" s="196">
        <v>2371.0</v>
      </c>
      <c r="BP32" s="196">
        <v>2206.0</v>
      </c>
      <c r="BQ32" s="196">
        <v>5.0</v>
      </c>
      <c r="BR32" s="196">
        <v>703.0</v>
      </c>
      <c r="BS32" s="198"/>
      <c r="BT32" s="198"/>
      <c r="BU32" s="198"/>
      <c r="BV32" s="197"/>
      <c r="BW32" s="197"/>
    </row>
    <row r="33" ht="14.25" customHeight="1">
      <c r="A33" s="276" t="s">
        <v>148</v>
      </c>
      <c r="B33" s="182">
        <v>897.0</v>
      </c>
      <c r="C33" s="182" t="s">
        <v>178</v>
      </c>
      <c r="D33" s="183">
        <v>736.0</v>
      </c>
      <c r="E33" s="271">
        <v>394.0</v>
      </c>
      <c r="F33" s="274">
        <f t="shared" si="1"/>
        <v>0.535326087</v>
      </c>
      <c r="G33" s="271">
        <v>342.0</v>
      </c>
      <c r="H33" s="272">
        <v>412.0</v>
      </c>
      <c r="I33" s="275">
        <f t="shared" si="2"/>
        <v>0.5597826087</v>
      </c>
      <c r="J33" s="184">
        <v>239.0</v>
      </c>
      <c r="K33" s="185">
        <v>10.0</v>
      </c>
      <c r="L33" s="183">
        <v>33.0</v>
      </c>
      <c r="M33" s="274">
        <f t="shared" si="3"/>
        <v>0.04483695652</v>
      </c>
      <c r="N33" s="183">
        <v>281.0</v>
      </c>
      <c r="O33" s="201">
        <f t="shared" si="4"/>
        <v>0.3817934783</v>
      </c>
      <c r="P33" s="185">
        <v>143.0</v>
      </c>
      <c r="Q33" s="185">
        <v>0.0</v>
      </c>
      <c r="R33" s="185">
        <v>0.0</v>
      </c>
      <c r="S33" s="184">
        <v>348.0</v>
      </c>
      <c r="T33" s="275">
        <f t="shared" si="5"/>
        <v>0.472826087</v>
      </c>
      <c r="U33" s="184">
        <v>286.0</v>
      </c>
      <c r="V33" s="201">
        <f t="shared" si="6"/>
        <v>0.3885869565</v>
      </c>
      <c r="W33" s="185">
        <v>102.0</v>
      </c>
      <c r="X33" s="274">
        <f t="shared" si="7"/>
        <v>0.1385869565</v>
      </c>
      <c r="Y33" s="273">
        <v>12355.0</v>
      </c>
      <c r="Z33" s="190">
        <v>0.46426547956292996</v>
      </c>
      <c r="AA33" s="183">
        <v>5736.0</v>
      </c>
      <c r="AB33" s="183">
        <v>6619.0</v>
      </c>
      <c r="AC33" s="185">
        <v>4524.0</v>
      </c>
      <c r="AD33" s="208">
        <f t="shared" si="8"/>
        <v>0.3661675435</v>
      </c>
      <c r="AE33" s="35">
        <v>2552.0</v>
      </c>
      <c r="AF33" s="35">
        <v>206.0</v>
      </c>
      <c r="AG33" s="35">
        <v>863.0</v>
      </c>
      <c r="AH33" s="208">
        <f t="shared" si="9"/>
        <v>0.06985026305</v>
      </c>
      <c r="AI33" s="35">
        <v>6762.0</v>
      </c>
      <c r="AJ33" s="208">
        <f t="shared" si="10"/>
        <v>0.5473087819</v>
      </c>
      <c r="AK33" s="35">
        <v>2860.0</v>
      </c>
      <c r="AL33" s="185">
        <v>0.0</v>
      </c>
      <c r="AM33" s="185">
        <v>0.0</v>
      </c>
      <c r="AN33" s="35">
        <v>2606.0</v>
      </c>
      <c r="AO33" s="35">
        <v>7672.0</v>
      </c>
      <c r="AP33" s="35">
        <v>2077.0</v>
      </c>
      <c r="AQ33" s="190">
        <f t="shared" si="11"/>
        <v>0.7506272764</v>
      </c>
      <c r="AR33" s="183">
        <v>9274.0</v>
      </c>
      <c r="AS33" s="35">
        <v>3040.0</v>
      </c>
      <c r="AT33" s="35">
        <v>1689.0</v>
      </c>
      <c r="AU33" s="35">
        <v>5398.0</v>
      </c>
      <c r="AV33" s="35">
        <v>2271.0</v>
      </c>
      <c r="AW33" s="35">
        <v>2039.0</v>
      </c>
      <c r="AX33" s="35">
        <v>5996.0</v>
      </c>
      <c r="AY33" s="35">
        <v>1239.0</v>
      </c>
      <c r="AZ33" s="35">
        <v>4209.0</v>
      </c>
      <c r="BA33" s="35">
        <v>5065.0</v>
      </c>
      <c r="BB33" s="190">
        <v>0.0</v>
      </c>
      <c r="BC33" s="183">
        <v>0.0</v>
      </c>
      <c r="BD33" s="185">
        <v>0.0</v>
      </c>
      <c r="BE33" s="209">
        <f t="shared" si="12"/>
        <v>0</v>
      </c>
      <c r="BF33" s="201">
        <v>0.0</v>
      </c>
      <c r="BG33" s="185">
        <v>0.0</v>
      </c>
      <c r="BH33" s="185">
        <v>0.0</v>
      </c>
      <c r="BI33" s="185">
        <v>0.0</v>
      </c>
      <c r="BJ33" s="185">
        <v>0.0</v>
      </c>
      <c r="BK33" s="185">
        <v>0.0</v>
      </c>
      <c r="BL33" s="35">
        <v>0.0</v>
      </c>
      <c r="BM33" s="185">
        <v>0.0</v>
      </c>
      <c r="BN33" s="226">
        <v>0.0</v>
      </c>
      <c r="BO33" s="196">
        <v>0.0</v>
      </c>
      <c r="BP33" s="196">
        <v>0.0</v>
      </c>
      <c r="BQ33" s="196">
        <v>0.0</v>
      </c>
      <c r="BR33" s="196">
        <v>0.0</v>
      </c>
      <c r="BS33" s="198"/>
      <c r="BT33" s="198"/>
      <c r="BU33" s="198"/>
      <c r="BV33" s="197"/>
      <c r="BW33" s="197"/>
    </row>
    <row r="34" ht="14.25" customHeight="1">
      <c r="A34" s="276" t="s">
        <v>159</v>
      </c>
      <c r="B34" s="182">
        <v>928.0</v>
      </c>
      <c r="C34" s="182" t="s">
        <v>179</v>
      </c>
      <c r="D34" s="183">
        <v>27701.0</v>
      </c>
      <c r="E34" s="271">
        <v>21675.0</v>
      </c>
      <c r="F34" s="274">
        <f t="shared" si="1"/>
        <v>0.782462727</v>
      </c>
      <c r="G34" s="271">
        <v>6026.0</v>
      </c>
      <c r="H34" s="272">
        <v>19160.0</v>
      </c>
      <c r="I34" s="275">
        <f t="shared" si="2"/>
        <v>0.6916717808</v>
      </c>
      <c r="J34" s="184">
        <v>17292.0</v>
      </c>
      <c r="K34" s="185">
        <v>99.0</v>
      </c>
      <c r="L34" s="183">
        <v>450.0</v>
      </c>
      <c r="M34" s="274">
        <f t="shared" si="3"/>
        <v>0.01624490091</v>
      </c>
      <c r="N34" s="183">
        <v>7978.0</v>
      </c>
      <c r="O34" s="201">
        <f t="shared" si="4"/>
        <v>0.2880040432</v>
      </c>
      <c r="P34" s="185">
        <v>4242.0</v>
      </c>
      <c r="Q34" s="183">
        <v>14.0</v>
      </c>
      <c r="R34" s="185">
        <v>0.0</v>
      </c>
      <c r="S34" s="184">
        <v>15675.0</v>
      </c>
      <c r="T34" s="275">
        <f t="shared" si="5"/>
        <v>0.5658640482</v>
      </c>
      <c r="U34" s="184">
        <v>5384.0</v>
      </c>
      <c r="V34" s="201">
        <f t="shared" si="6"/>
        <v>0.1943612144</v>
      </c>
      <c r="W34" s="185">
        <v>6642.0</v>
      </c>
      <c r="X34" s="274">
        <f t="shared" si="7"/>
        <v>0.2397747374</v>
      </c>
      <c r="Y34" s="273">
        <v>257134.0</v>
      </c>
      <c r="Z34" s="190">
        <v>0.6323201132483453</v>
      </c>
      <c r="AA34" s="183">
        <v>162591.0</v>
      </c>
      <c r="AB34" s="183">
        <v>94543.0</v>
      </c>
      <c r="AC34" s="185">
        <v>118713.0</v>
      </c>
      <c r="AD34" s="208">
        <f t="shared" si="8"/>
        <v>0.4616775689</v>
      </c>
      <c r="AE34" s="35">
        <v>94459.0</v>
      </c>
      <c r="AF34" s="35">
        <v>3003.0</v>
      </c>
      <c r="AG34" s="35">
        <v>4711.0</v>
      </c>
      <c r="AH34" s="208">
        <f t="shared" si="9"/>
        <v>0.01832118662</v>
      </c>
      <c r="AI34" s="35">
        <v>130629.0</v>
      </c>
      <c r="AJ34" s="208">
        <f t="shared" si="10"/>
        <v>0.5080191651</v>
      </c>
      <c r="AK34" s="35">
        <v>66073.0</v>
      </c>
      <c r="AL34" s="185">
        <v>78.0</v>
      </c>
      <c r="AM34" s="185">
        <v>0.0</v>
      </c>
      <c r="AN34" s="35">
        <v>66411.0</v>
      </c>
      <c r="AO34" s="35">
        <v>115464.0</v>
      </c>
      <c r="AP34" s="35">
        <v>75259.0</v>
      </c>
      <c r="AQ34" s="190">
        <f t="shared" si="11"/>
        <v>0.7522653558</v>
      </c>
      <c r="AR34" s="183">
        <v>193433.0</v>
      </c>
      <c r="AS34" s="35">
        <v>75659.0</v>
      </c>
      <c r="AT34" s="35">
        <v>56685.0</v>
      </c>
      <c r="AU34" s="35">
        <v>112397.0</v>
      </c>
      <c r="AV34" s="35">
        <v>55556.0</v>
      </c>
      <c r="AW34" s="35">
        <v>49103.0</v>
      </c>
      <c r="AX34" s="35">
        <v>97666.0</v>
      </c>
      <c r="AY34" s="35">
        <v>46664.0</v>
      </c>
      <c r="AZ34" s="35">
        <v>113444.0</v>
      </c>
      <c r="BA34" s="35">
        <v>79989.0</v>
      </c>
      <c r="BB34" s="190">
        <v>0.09107974441355908</v>
      </c>
      <c r="BC34" s="183">
        <v>2523.0</v>
      </c>
      <c r="BD34" s="185">
        <v>2451.0</v>
      </c>
      <c r="BE34" s="209">
        <f t="shared" si="12"/>
        <v>0.1279227557</v>
      </c>
      <c r="BF34" s="201">
        <f t="shared" ref="BF34:BF43" si="16">BD34/BC34</f>
        <v>0.9714625446</v>
      </c>
      <c r="BG34" s="185">
        <v>0.0</v>
      </c>
      <c r="BH34" s="185">
        <v>22.0</v>
      </c>
      <c r="BI34" s="185">
        <v>50.0</v>
      </c>
      <c r="BJ34" s="185">
        <v>0.0</v>
      </c>
      <c r="BK34" s="185">
        <v>0.0</v>
      </c>
      <c r="BL34" s="35">
        <v>2444.0</v>
      </c>
      <c r="BM34" s="185">
        <v>79.0</v>
      </c>
      <c r="BN34" s="196">
        <v>2385.0</v>
      </c>
      <c r="BO34" s="196">
        <v>2364.0</v>
      </c>
      <c r="BP34" s="196">
        <v>2331.0</v>
      </c>
      <c r="BQ34" s="196">
        <v>11.0</v>
      </c>
      <c r="BR34" s="196">
        <v>127.0</v>
      </c>
      <c r="BS34" s="198"/>
      <c r="BT34" s="198"/>
      <c r="BU34" s="198"/>
      <c r="BV34" s="197"/>
      <c r="BW34" s="197"/>
    </row>
    <row r="35" ht="14.25" customHeight="1">
      <c r="A35" s="181" t="s">
        <v>155</v>
      </c>
      <c r="B35" s="182">
        <v>903.0</v>
      </c>
      <c r="C35" s="182" t="s">
        <v>180</v>
      </c>
      <c r="D35" s="183">
        <v>106373.0</v>
      </c>
      <c r="E35" s="271">
        <v>88362.0</v>
      </c>
      <c r="F35" s="274">
        <f t="shared" si="1"/>
        <v>0.8306807179</v>
      </c>
      <c r="G35" s="271">
        <v>18011.0</v>
      </c>
      <c r="H35" s="272">
        <v>66193.0</v>
      </c>
      <c r="I35" s="275">
        <f t="shared" si="2"/>
        <v>0.6222725692</v>
      </c>
      <c r="J35" s="184">
        <v>62852.0</v>
      </c>
      <c r="K35" s="185">
        <v>2755.0</v>
      </c>
      <c r="L35" s="185">
        <v>0.0</v>
      </c>
      <c r="M35" s="274">
        <f t="shared" si="3"/>
        <v>0</v>
      </c>
      <c r="N35" s="183">
        <v>34826.0</v>
      </c>
      <c r="O35" s="201">
        <f t="shared" si="4"/>
        <v>0.3273951097</v>
      </c>
      <c r="P35" s="185">
        <v>21500.0</v>
      </c>
      <c r="Q35" s="183">
        <v>2571.0</v>
      </c>
      <c r="R35" s="183">
        <v>28.0</v>
      </c>
      <c r="S35" s="184">
        <v>74747.0</v>
      </c>
      <c r="T35" s="275">
        <f t="shared" si="5"/>
        <v>0.7026877121</v>
      </c>
      <c r="U35" s="184">
        <v>30492.0</v>
      </c>
      <c r="V35" s="201">
        <f t="shared" si="6"/>
        <v>0.2866516879</v>
      </c>
      <c r="W35" s="185">
        <v>1134.0</v>
      </c>
      <c r="X35" s="274">
        <f t="shared" si="7"/>
        <v>0.01066059996</v>
      </c>
      <c r="Y35" s="273">
        <v>724525.0</v>
      </c>
      <c r="Z35" s="190">
        <v>0.7474069217763363</v>
      </c>
      <c r="AA35" s="183">
        <v>541515.0</v>
      </c>
      <c r="AB35" s="183">
        <v>183010.0</v>
      </c>
      <c r="AC35" s="185">
        <v>383068.0</v>
      </c>
      <c r="AD35" s="208">
        <f t="shared" si="8"/>
        <v>0.5287160553</v>
      </c>
      <c r="AE35" s="35">
        <v>352874.0</v>
      </c>
      <c r="AF35" s="35">
        <v>7803.0</v>
      </c>
      <c r="AG35" s="35">
        <v>0.0</v>
      </c>
      <c r="AH35" s="208">
        <f t="shared" si="9"/>
        <v>0</v>
      </c>
      <c r="AI35" s="35">
        <v>326490.0</v>
      </c>
      <c r="AJ35" s="208">
        <f t="shared" si="10"/>
        <v>0.4506262724</v>
      </c>
      <c r="AK35" s="35">
        <v>180371.0</v>
      </c>
      <c r="AL35" s="185">
        <v>7093.0</v>
      </c>
      <c r="AM35" s="185">
        <v>71.0</v>
      </c>
      <c r="AN35" s="35">
        <v>305830.0</v>
      </c>
      <c r="AO35" s="35">
        <v>405513.0</v>
      </c>
      <c r="AP35" s="35">
        <v>13182.0</v>
      </c>
      <c r="AQ35" s="190">
        <f t="shared" si="11"/>
        <v>0.396604672</v>
      </c>
      <c r="AR35" s="183">
        <v>287350.0</v>
      </c>
      <c r="AS35" s="35">
        <v>129191.0</v>
      </c>
      <c r="AT35" s="35">
        <v>112034.0</v>
      </c>
      <c r="AU35" s="35">
        <v>152816.0</v>
      </c>
      <c r="AV35" s="35">
        <v>65536.0</v>
      </c>
      <c r="AW35" s="35">
        <v>129280.0</v>
      </c>
      <c r="AX35" s="35">
        <v>153182.0</v>
      </c>
      <c r="AY35" s="35">
        <v>4888.0</v>
      </c>
      <c r="AZ35" s="35">
        <v>179820.0</v>
      </c>
      <c r="BA35" s="35">
        <v>107530.0</v>
      </c>
      <c r="BB35" s="190">
        <v>0.10226279224991304</v>
      </c>
      <c r="BC35" s="183">
        <v>10878.0</v>
      </c>
      <c r="BD35" s="185">
        <v>7572.0</v>
      </c>
      <c r="BE35" s="209">
        <f t="shared" si="12"/>
        <v>0.1143927606</v>
      </c>
      <c r="BF35" s="201">
        <f t="shared" si="16"/>
        <v>0.6960838389</v>
      </c>
      <c r="BG35" s="185">
        <v>1831.0</v>
      </c>
      <c r="BH35" s="185">
        <v>0.0</v>
      </c>
      <c r="BI35" s="185">
        <v>655.0</v>
      </c>
      <c r="BJ35" s="185">
        <v>809.0</v>
      </c>
      <c r="BK35" s="185">
        <v>11.0</v>
      </c>
      <c r="BL35" s="35">
        <v>9956.0</v>
      </c>
      <c r="BM35" s="185">
        <v>922.0</v>
      </c>
      <c r="BN35" s="196">
        <v>10706.0</v>
      </c>
      <c r="BO35" s="196">
        <v>10108.0</v>
      </c>
      <c r="BP35" s="196">
        <v>7529.0</v>
      </c>
      <c r="BQ35" s="196">
        <v>143.0</v>
      </c>
      <c r="BR35" s="196">
        <v>29.0</v>
      </c>
      <c r="BS35" s="198"/>
      <c r="BT35" s="198"/>
      <c r="BU35" s="198"/>
      <c r="BV35" s="197"/>
      <c r="BW35" s="197"/>
    </row>
    <row r="36" ht="14.25" customHeight="1">
      <c r="A36" s="181" t="s">
        <v>150</v>
      </c>
      <c r="B36" s="182">
        <v>751.0</v>
      </c>
      <c r="C36" s="182" t="s">
        <v>181</v>
      </c>
      <c r="D36" s="183">
        <v>1259.0</v>
      </c>
      <c r="E36" s="271">
        <v>1142.0</v>
      </c>
      <c r="F36" s="274">
        <f t="shared" si="1"/>
        <v>0.9070691025</v>
      </c>
      <c r="G36" s="271">
        <v>117.0</v>
      </c>
      <c r="H36" s="272">
        <v>779.0</v>
      </c>
      <c r="I36" s="275">
        <f t="shared" si="2"/>
        <v>0.6187450357</v>
      </c>
      <c r="J36" s="184">
        <v>752.0</v>
      </c>
      <c r="K36" s="185">
        <v>85.0</v>
      </c>
      <c r="L36" s="183">
        <v>19.0</v>
      </c>
      <c r="M36" s="274">
        <f t="shared" si="3"/>
        <v>0.01509134234</v>
      </c>
      <c r="N36" s="183">
        <v>376.0</v>
      </c>
      <c r="O36" s="201">
        <f t="shared" si="4"/>
        <v>0.298649722</v>
      </c>
      <c r="P36" s="185">
        <v>302.0</v>
      </c>
      <c r="Q36" s="185">
        <v>0.0</v>
      </c>
      <c r="R36" s="185">
        <v>0.0</v>
      </c>
      <c r="S36" s="184">
        <v>992.0</v>
      </c>
      <c r="T36" s="275">
        <f t="shared" si="5"/>
        <v>0.7879269261</v>
      </c>
      <c r="U36" s="184">
        <v>253.0</v>
      </c>
      <c r="V36" s="201">
        <f t="shared" si="6"/>
        <v>0.2009531374</v>
      </c>
      <c r="W36" s="185">
        <v>14.0</v>
      </c>
      <c r="X36" s="274">
        <f t="shared" si="7"/>
        <v>0.01111993646</v>
      </c>
      <c r="Y36" s="273">
        <v>13613.0</v>
      </c>
      <c r="Z36" s="190">
        <v>0.8336883861015206</v>
      </c>
      <c r="AA36" s="183">
        <v>11349.0</v>
      </c>
      <c r="AB36" s="183">
        <v>2264.0</v>
      </c>
      <c r="AC36" s="185">
        <v>9504.0</v>
      </c>
      <c r="AD36" s="208">
        <f t="shared" si="8"/>
        <v>0.6981561742</v>
      </c>
      <c r="AE36" s="35">
        <v>8396.0</v>
      </c>
      <c r="AF36" s="35">
        <v>342.0</v>
      </c>
      <c r="AG36" s="35">
        <v>244.0</v>
      </c>
      <c r="AH36" s="208">
        <f t="shared" si="9"/>
        <v>0.01792404319</v>
      </c>
      <c r="AI36" s="35">
        <v>3523.0</v>
      </c>
      <c r="AJ36" s="208">
        <f t="shared" si="10"/>
        <v>0.2587967384</v>
      </c>
      <c r="AK36" s="35">
        <v>2579.0</v>
      </c>
      <c r="AL36" s="185">
        <v>0.0</v>
      </c>
      <c r="AM36" s="185">
        <v>0.0</v>
      </c>
      <c r="AN36" s="35">
        <v>6631.0</v>
      </c>
      <c r="AO36" s="35">
        <v>6801.0</v>
      </c>
      <c r="AP36" s="35">
        <v>181.0</v>
      </c>
      <c r="AQ36" s="190">
        <f t="shared" si="11"/>
        <v>0.6001616102</v>
      </c>
      <c r="AR36" s="183">
        <v>8170.0</v>
      </c>
      <c r="AS36" s="35">
        <v>5383.0</v>
      </c>
      <c r="AT36" s="35">
        <v>4565.0</v>
      </c>
      <c r="AU36" s="35">
        <v>2575.0</v>
      </c>
      <c r="AV36" s="35">
        <v>1823.0</v>
      </c>
      <c r="AW36" s="35">
        <v>4130.0</v>
      </c>
      <c r="AX36" s="35">
        <v>3966.0</v>
      </c>
      <c r="AY36" s="35">
        <v>74.0</v>
      </c>
      <c r="AZ36" s="35">
        <v>6478.0</v>
      </c>
      <c r="BA36" s="35">
        <v>1692.0</v>
      </c>
      <c r="BB36" s="190">
        <v>0.03415409054805401</v>
      </c>
      <c r="BC36" s="183">
        <v>43.0</v>
      </c>
      <c r="BD36" s="185">
        <v>27.0</v>
      </c>
      <c r="BE36" s="209">
        <f t="shared" si="12"/>
        <v>0.03465982028</v>
      </c>
      <c r="BF36" s="201">
        <f t="shared" si="16"/>
        <v>0.6279069767</v>
      </c>
      <c r="BG36" s="185">
        <v>12.0</v>
      </c>
      <c r="BH36" s="185">
        <v>2.0</v>
      </c>
      <c r="BI36" s="185">
        <v>2.0</v>
      </c>
      <c r="BJ36" s="185">
        <v>0.0</v>
      </c>
      <c r="BK36" s="185">
        <v>0.0</v>
      </c>
      <c r="BL36" s="35">
        <v>41.0</v>
      </c>
      <c r="BM36" s="185">
        <v>2.0</v>
      </c>
      <c r="BN36" s="196">
        <v>43.0</v>
      </c>
      <c r="BO36" s="196">
        <v>40.0</v>
      </c>
      <c r="BP36" s="196">
        <v>27.0</v>
      </c>
      <c r="BQ36" s="196">
        <v>0.0</v>
      </c>
      <c r="BR36" s="196">
        <v>0.0</v>
      </c>
      <c r="BS36" s="198"/>
      <c r="BT36" s="198"/>
      <c r="BU36" s="198"/>
      <c r="BV36" s="197"/>
      <c r="BW36" s="197"/>
    </row>
    <row r="37" ht="14.25" customHeight="1">
      <c r="A37" s="181" t="s">
        <v>148</v>
      </c>
      <c r="B37" s="182">
        <v>855.0</v>
      </c>
      <c r="C37" s="182" t="s">
        <v>182</v>
      </c>
      <c r="D37" s="183">
        <v>58801.0</v>
      </c>
      <c r="E37" s="271">
        <v>43180.0</v>
      </c>
      <c r="F37" s="274">
        <f t="shared" si="1"/>
        <v>0.7343412527</v>
      </c>
      <c r="G37" s="271">
        <v>15621.0</v>
      </c>
      <c r="H37" s="272">
        <v>35735.0</v>
      </c>
      <c r="I37" s="275">
        <f t="shared" si="2"/>
        <v>0.6077277597</v>
      </c>
      <c r="J37" s="184">
        <v>30393.0</v>
      </c>
      <c r="K37" s="185">
        <v>1901.0</v>
      </c>
      <c r="L37" s="183">
        <v>8323.0</v>
      </c>
      <c r="M37" s="274">
        <f t="shared" si="3"/>
        <v>0.1415452118</v>
      </c>
      <c r="N37" s="183">
        <v>12396.0</v>
      </c>
      <c r="O37" s="201">
        <f t="shared" si="4"/>
        <v>0.2108127413</v>
      </c>
      <c r="P37" s="185">
        <v>6128.0</v>
      </c>
      <c r="Q37" s="185">
        <v>0.0</v>
      </c>
      <c r="R37" s="183">
        <v>446.0</v>
      </c>
      <c r="S37" s="184">
        <v>44218.0</v>
      </c>
      <c r="T37" s="275">
        <f t="shared" si="5"/>
        <v>0.7519940137</v>
      </c>
      <c r="U37" s="184">
        <v>6263.0</v>
      </c>
      <c r="V37" s="201">
        <f t="shared" si="6"/>
        <v>0.106511794</v>
      </c>
      <c r="W37" s="185">
        <v>8320.0</v>
      </c>
      <c r="X37" s="274">
        <f t="shared" si="7"/>
        <v>0.1414941923</v>
      </c>
      <c r="Y37" s="273">
        <v>569920.0</v>
      </c>
      <c r="Z37" s="190">
        <v>0.5541918163952836</v>
      </c>
      <c r="AA37" s="183">
        <v>315845.0</v>
      </c>
      <c r="AB37" s="183">
        <v>254075.0</v>
      </c>
      <c r="AC37" s="185">
        <v>219879.0</v>
      </c>
      <c r="AD37" s="208">
        <f t="shared" si="8"/>
        <v>0.3858067799</v>
      </c>
      <c r="AE37" s="35">
        <v>162649.0</v>
      </c>
      <c r="AF37" s="35">
        <v>9924.0</v>
      </c>
      <c r="AG37" s="35">
        <v>78333.0</v>
      </c>
      <c r="AH37" s="208">
        <f t="shared" si="9"/>
        <v>0.1374456064</v>
      </c>
      <c r="AI37" s="35">
        <v>258225.0</v>
      </c>
      <c r="AJ37" s="208">
        <f t="shared" si="10"/>
        <v>0.4530899074</v>
      </c>
      <c r="AK37" s="35">
        <v>115995.0</v>
      </c>
      <c r="AL37" s="185">
        <v>0.0</v>
      </c>
      <c r="AM37" s="185">
        <v>3559.0</v>
      </c>
      <c r="AN37" s="35">
        <v>199637.0</v>
      </c>
      <c r="AO37" s="35">
        <v>207508.0</v>
      </c>
      <c r="AP37" s="35">
        <v>162775.0</v>
      </c>
      <c r="AQ37" s="190">
        <f t="shared" si="11"/>
        <v>0.7502860051</v>
      </c>
      <c r="AR37" s="183">
        <v>427603.0</v>
      </c>
      <c r="AS37" s="35">
        <v>143339.0</v>
      </c>
      <c r="AT37" s="35">
        <v>101022.0</v>
      </c>
      <c r="AU37" s="35">
        <v>218844.0</v>
      </c>
      <c r="AV37" s="35">
        <v>94900.0</v>
      </c>
      <c r="AW37" s="35">
        <v>159496.0</v>
      </c>
      <c r="AX37" s="35">
        <v>171067.0</v>
      </c>
      <c r="AY37" s="35">
        <v>97040.0</v>
      </c>
      <c r="AZ37" s="35">
        <v>221166.0</v>
      </c>
      <c r="BA37" s="35">
        <v>206437.0</v>
      </c>
      <c r="BB37" s="190">
        <v>0.045951599462594174</v>
      </c>
      <c r="BC37" s="183">
        <v>2702.0</v>
      </c>
      <c r="BD37" s="185">
        <v>1908.0</v>
      </c>
      <c r="BE37" s="209">
        <f t="shared" si="12"/>
        <v>0.05339303204</v>
      </c>
      <c r="BF37" s="201">
        <f t="shared" si="16"/>
        <v>0.7061435973</v>
      </c>
      <c r="BG37" s="185">
        <v>245.0</v>
      </c>
      <c r="BH37" s="185">
        <v>330.0</v>
      </c>
      <c r="BI37" s="185">
        <v>186.0</v>
      </c>
      <c r="BJ37" s="185">
        <v>0.0</v>
      </c>
      <c r="BK37" s="185">
        <v>33.0</v>
      </c>
      <c r="BL37" s="35">
        <v>2364.0</v>
      </c>
      <c r="BM37" s="185">
        <v>338.0</v>
      </c>
      <c r="BN37" s="196">
        <v>2656.0</v>
      </c>
      <c r="BO37" s="196">
        <v>2580.0</v>
      </c>
      <c r="BP37" s="196">
        <v>1906.0</v>
      </c>
      <c r="BQ37" s="196">
        <v>35.0</v>
      </c>
      <c r="BR37" s="196">
        <v>11.0</v>
      </c>
      <c r="BS37" s="198"/>
      <c r="BT37" s="198"/>
      <c r="BU37" s="198"/>
      <c r="BV37" s="197"/>
      <c r="BW37" s="197"/>
    </row>
    <row r="38" ht="14.25" customHeight="1">
      <c r="A38" s="276" t="s">
        <v>148</v>
      </c>
      <c r="B38" s="182">
        <v>754.0</v>
      </c>
      <c r="C38" s="182" t="s">
        <v>183</v>
      </c>
      <c r="D38" s="183">
        <v>43083.0</v>
      </c>
      <c r="E38" s="271">
        <v>28547.0</v>
      </c>
      <c r="F38" s="274">
        <f t="shared" si="1"/>
        <v>0.6626047397</v>
      </c>
      <c r="G38" s="271">
        <v>14536.0</v>
      </c>
      <c r="H38" s="272">
        <v>27722.0</v>
      </c>
      <c r="I38" s="275">
        <f t="shared" si="2"/>
        <v>0.6434556554</v>
      </c>
      <c r="J38" s="184">
        <v>23140.0</v>
      </c>
      <c r="K38" s="185">
        <v>2301.0</v>
      </c>
      <c r="L38" s="183">
        <v>700.0</v>
      </c>
      <c r="M38" s="274">
        <f t="shared" si="3"/>
        <v>0.01624770791</v>
      </c>
      <c r="N38" s="183">
        <v>12193.0</v>
      </c>
      <c r="O38" s="201">
        <f t="shared" si="4"/>
        <v>0.2830118608</v>
      </c>
      <c r="P38" s="185">
        <v>3248.0</v>
      </c>
      <c r="Q38" s="185">
        <v>0.0</v>
      </c>
      <c r="R38" s="183">
        <v>167.0</v>
      </c>
      <c r="S38" s="184">
        <v>28399.0</v>
      </c>
      <c r="T38" s="275">
        <f t="shared" si="5"/>
        <v>0.65916951</v>
      </c>
      <c r="U38" s="184">
        <v>7200.0</v>
      </c>
      <c r="V38" s="201">
        <f t="shared" si="6"/>
        <v>0.1671192814</v>
      </c>
      <c r="W38" s="185">
        <v>7484.0</v>
      </c>
      <c r="X38" s="274">
        <f t="shared" si="7"/>
        <v>0.1737112086</v>
      </c>
      <c r="Y38" s="273">
        <v>320894.0</v>
      </c>
      <c r="Z38" s="190">
        <v>0.438238172106677</v>
      </c>
      <c r="AA38" s="183">
        <v>140628.0</v>
      </c>
      <c r="AB38" s="183">
        <v>180266.0</v>
      </c>
      <c r="AC38" s="185">
        <v>127732.0</v>
      </c>
      <c r="AD38" s="208">
        <f t="shared" si="8"/>
        <v>0.3980504466</v>
      </c>
      <c r="AE38" s="35">
        <v>96168.0</v>
      </c>
      <c r="AF38" s="35">
        <v>12563.0</v>
      </c>
      <c r="AG38" s="35">
        <v>3337.0</v>
      </c>
      <c r="AH38" s="208">
        <f t="shared" si="9"/>
        <v>0.01039907259</v>
      </c>
      <c r="AI38" s="35">
        <v>176885.0</v>
      </c>
      <c r="AJ38" s="208">
        <f t="shared" si="10"/>
        <v>0.5512256384</v>
      </c>
      <c r="AK38" s="35">
        <v>34797.0</v>
      </c>
      <c r="AL38" s="185">
        <v>0.0</v>
      </c>
      <c r="AM38" s="185">
        <v>377.0</v>
      </c>
      <c r="AN38" s="35">
        <v>99264.0</v>
      </c>
      <c r="AO38" s="35">
        <v>138788.0</v>
      </c>
      <c r="AP38" s="35">
        <v>82842.0</v>
      </c>
      <c r="AQ38" s="190">
        <f t="shared" si="11"/>
        <v>0.6058542696</v>
      </c>
      <c r="AR38" s="183">
        <v>194415.0</v>
      </c>
      <c r="AS38" s="35">
        <v>59471.0</v>
      </c>
      <c r="AT38" s="35">
        <v>40914.0</v>
      </c>
      <c r="AU38" s="35">
        <v>126128.0</v>
      </c>
      <c r="AV38" s="35">
        <v>21356.0</v>
      </c>
      <c r="AW38" s="35">
        <v>58122.0</v>
      </c>
      <c r="AX38" s="35">
        <v>101148.0</v>
      </c>
      <c r="AY38" s="35">
        <v>35145.0</v>
      </c>
      <c r="AZ38" s="35">
        <v>66619.0</v>
      </c>
      <c r="BA38" s="35">
        <v>127796.0</v>
      </c>
      <c r="BB38" s="190">
        <v>0.14836478425364993</v>
      </c>
      <c r="BC38" s="183">
        <v>6392.0</v>
      </c>
      <c r="BD38" s="185">
        <v>5029.0</v>
      </c>
      <c r="BE38" s="215">
        <f t="shared" si="12"/>
        <v>0.1814082678</v>
      </c>
      <c r="BF38" s="201">
        <f t="shared" si="16"/>
        <v>0.7867647059</v>
      </c>
      <c r="BG38" s="185">
        <v>792.0</v>
      </c>
      <c r="BH38" s="185">
        <v>140.0</v>
      </c>
      <c r="BI38" s="185">
        <v>371.0</v>
      </c>
      <c r="BJ38" s="185">
        <v>0.0</v>
      </c>
      <c r="BK38" s="185">
        <v>60.0</v>
      </c>
      <c r="BL38" s="35">
        <v>5533.0</v>
      </c>
      <c r="BM38" s="185">
        <v>859.0</v>
      </c>
      <c r="BN38" s="196">
        <v>6223.0</v>
      </c>
      <c r="BO38" s="196">
        <v>5871.0</v>
      </c>
      <c r="BP38" s="196">
        <v>5010.0</v>
      </c>
      <c r="BQ38" s="196">
        <v>97.0</v>
      </c>
      <c r="BR38" s="196">
        <v>72.0</v>
      </c>
      <c r="BS38" s="198"/>
      <c r="BT38" s="198"/>
      <c r="BU38" s="198"/>
      <c r="BV38" s="197"/>
      <c r="BW38" s="197"/>
    </row>
    <row r="39" ht="14.25" customHeight="1">
      <c r="A39" s="276" t="s">
        <v>150</v>
      </c>
      <c r="B39" s="182">
        <v>834.0</v>
      </c>
      <c r="C39" s="182" t="s">
        <v>184</v>
      </c>
      <c r="D39" s="183">
        <v>4929.0</v>
      </c>
      <c r="E39" s="271">
        <v>4527.0</v>
      </c>
      <c r="F39" s="274">
        <f t="shared" si="1"/>
        <v>0.9184418746</v>
      </c>
      <c r="G39" s="271">
        <v>402.0</v>
      </c>
      <c r="H39" s="272">
        <v>4234.0</v>
      </c>
      <c r="I39" s="275">
        <f t="shared" si="2"/>
        <v>0.8589977683</v>
      </c>
      <c r="J39" s="184">
        <v>3982.0</v>
      </c>
      <c r="K39" s="185">
        <v>28.0</v>
      </c>
      <c r="L39" s="183">
        <v>43.0</v>
      </c>
      <c r="M39" s="274">
        <f t="shared" si="3"/>
        <v>0.008723879083</v>
      </c>
      <c r="N39" s="183">
        <v>363.0</v>
      </c>
      <c r="O39" s="201">
        <f t="shared" si="4"/>
        <v>0.07364576993</v>
      </c>
      <c r="P39" s="185">
        <v>284.0</v>
      </c>
      <c r="Q39" s="183">
        <v>179.0</v>
      </c>
      <c r="R39" s="183">
        <v>82.0</v>
      </c>
      <c r="S39" s="184">
        <v>3746.0</v>
      </c>
      <c r="T39" s="275">
        <f t="shared" si="5"/>
        <v>0.7599918848</v>
      </c>
      <c r="U39" s="184">
        <v>1112.0</v>
      </c>
      <c r="V39" s="201">
        <f t="shared" si="6"/>
        <v>0.2256035707</v>
      </c>
      <c r="W39" s="185">
        <v>71.0</v>
      </c>
      <c r="X39" s="274">
        <f t="shared" si="7"/>
        <v>0.01440454453</v>
      </c>
      <c r="Y39" s="273">
        <v>36433.0</v>
      </c>
      <c r="Z39" s="190">
        <v>0.808854609831746</v>
      </c>
      <c r="AA39" s="183">
        <v>29469.0</v>
      </c>
      <c r="AB39" s="183">
        <v>6964.0</v>
      </c>
      <c r="AC39" s="185">
        <v>27559.0</v>
      </c>
      <c r="AD39" s="208">
        <f t="shared" si="8"/>
        <v>0.7564296105</v>
      </c>
      <c r="AE39" s="35">
        <v>23540.0</v>
      </c>
      <c r="AF39" s="35">
        <v>482.0</v>
      </c>
      <c r="AG39" s="35">
        <v>1125.0</v>
      </c>
      <c r="AH39" s="208">
        <f t="shared" si="9"/>
        <v>0.03087859907</v>
      </c>
      <c r="AI39" s="35">
        <v>6191.0</v>
      </c>
      <c r="AJ39" s="208">
        <f t="shared" si="10"/>
        <v>0.1699283617</v>
      </c>
      <c r="AK39" s="35">
        <v>4449.0</v>
      </c>
      <c r="AL39" s="185">
        <v>480.0</v>
      </c>
      <c r="AM39" s="185">
        <v>596.0</v>
      </c>
      <c r="AN39" s="35">
        <v>15241.0</v>
      </c>
      <c r="AO39" s="35">
        <v>19785.0</v>
      </c>
      <c r="AP39" s="35">
        <v>1407.0</v>
      </c>
      <c r="AQ39" s="190">
        <f t="shared" si="11"/>
        <v>0.3495182939</v>
      </c>
      <c r="AR39" s="183">
        <v>12734.0</v>
      </c>
      <c r="AS39" s="35">
        <v>8722.0</v>
      </c>
      <c r="AT39" s="35">
        <v>6677.0</v>
      </c>
      <c r="AU39" s="35">
        <v>3136.0</v>
      </c>
      <c r="AV39" s="35">
        <v>2155.0</v>
      </c>
      <c r="AW39" s="35">
        <v>4374.0</v>
      </c>
      <c r="AX39" s="35">
        <v>7837.0</v>
      </c>
      <c r="AY39" s="35">
        <v>523.0</v>
      </c>
      <c r="AZ39" s="35">
        <v>9246.0</v>
      </c>
      <c r="BA39" s="35">
        <v>3488.0</v>
      </c>
      <c r="BB39" s="190">
        <v>0.041387705416920266</v>
      </c>
      <c r="BC39" s="183">
        <v>204.0</v>
      </c>
      <c r="BD39" s="185">
        <v>187.0</v>
      </c>
      <c r="BE39" s="209">
        <f t="shared" si="12"/>
        <v>0.04416627303</v>
      </c>
      <c r="BF39" s="201">
        <f t="shared" si="16"/>
        <v>0.9166666667</v>
      </c>
      <c r="BG39" s="185">
        <v>0.0</v>
      </c>
      <c r="BH39" s="185">
        <v>0.0</v>
      </c>
      <c r="BI39" s="185">
        <v>1.0</v>
      </c>
      <c r="BJ39" s="185">
        <v>16.0</v>
      </c>
      <c r="BK39" s="185">
        <v>0.0</v>
      </c>
      <c r="BL39" s="35">
        <v>204.0</v>
      </c>
      <c r="BM39" s="185">
        <v>0.0</v>
      </c>
      <c r="BN39" s="196">
        <v>204.0</v>
      </c>
      <c r="BO39" s="196">
        <v>184.0</v>
      </c>
      <c r="BP39" s="196">
        <v>187.0</v>
      </c>
      <c r="BQ39" s="196">
        <v>0.0</v>
      </c>
      <c r="BR39" s="196">
        <v>0.0</v>
      </c>
      <c r="BS39" s="198"/>
      <c r="BT39" s="198"/>
      <c r="BU39" s="198"/>
      <c r="BV39" s="197"/>
      <c r="BW39" s="197"/>
    </row>
    <row r="40" ht="14.25" customHeight="1">
      <c r="A40" s="181" t="s">
        <v>159</v>
      </c>
      <c r="B40" s="182">
        <v>851.0</v>
      </c>
      <c r="C40" s="182" t="s">
        <v>185</v>
      </c>
      <c r="D40" s="183">
        <v>258054.0</v>
      </c>
      <c r="E40" s="271">
        <v>221117.0</v>
      </c>
      <c r="F40" s="274">
        <f t="shared" si="1"/>
        <v>0.8568632922</v>
      </c>
      <c r="G40" s="271">
        <v>36937.0</v>
      </c>
      <c r="H40" s="272">
        <v>136137.0</v>
      </c>
      <c r="I40" s="275">
        <f t="shared" si="2"/>
        <v>0.5275523728</v>
      </c>
      <c r="J40" s="184">
        <v>130602.0</v>
      </c>
      <c r="K40" s="185">
        <v>887.0</v>
      </c>
      <c r="L40" s="183">
        <v>8113.0</v>
      </c>
      <c r="M40" s="274">
        <f t="shared" si="3"/>
        <v>0.03143915615</v>
      </c>
      <c r="N40" s="183">
        <v>97808.0</v>
      </c>
      <c r="O40" s="201">
        <f t="shared" si="4"/>
        <v>0.3790214451</v>
      </c>
      <c r="P40" s="185">
        <v>72858.0</v>
      </c>
      <c r="Q40" s="183">
        <v>12791.0</v>
      </c>
      <c r="R40" s="183">
        <v>2318.0</v>
      </c>
      <c r="S40" s="184">
        <v>184642.0</v>
      </c>
      <c r="T40" s="275">
        <f t="shared" si="5"/>
        <v>0.7155169073</v>
      </c>
      <c r="U40" s="184">
        <v>8586.0</v>
      </c>
      <c r="V40" s="201">
        <f t="shared" si="6"/>
        <v>0.03327210584</v>
      </c>
      <c r="W40" s="185">
        <v>64826.0</v>
      </c>
      <c r="X40" s="274">
        <f t="shared" si="7"/>
        <v>0.2512109868</v>
      </c>
      <c r="Y40" s="273">
        <v>1507828.0</v>
      </c>
      <c r="Z40" s="190">
        <v>0.8080072793448589</v>
      </c>
      <c r="AA40" s="183">
        <v>1218336.0</v>
      </c>
      <c r="AB40" s="183">
        <v>289492.0</v>
      </c>
      <c r="AC40" s="185">
        <v>624874.0</v>
      </c>
      <c r="AD40" s="208">
        <f t="shared" si="8"/>
        <v>0.4144199471</v>
      </c>
      <c r="AE40" s="35">
        <v>601453.0</v>
      </c>
      <c r="AF40" s="35">
        <v>10838.0</v>
      </c>
      <c r="AG40" s="185">
        <v>89732.0</v>
      </c>
      <c r="AH40" s="208">
        <f t="shared" si="9"/>
        <v>0.05951076648</v>
      </c>
      <c r="AI40" s="35">
        <v>703949.0</v>
      </c>
      <c r="AJ40" s="208">
        <f t="shared" si="10"/>
        <v>0.4668629313</v>
      </c>
      <c r="AK40" s="35">
        <v>497099.0</v>
      </c>
      <c r="AL40" s="185">
        <v>67411.0</v>
      </c>
      <c r="AM40" s="185">
        <v>11024.0</v>
      </c>
      <c r="AN40" s="35">
        <v>948320.0</v>
      </c>
      <c r="AO40" s="35">
        <v>173371.0</v>
      </c>
      <c r="AP40" s="35">
        <v>386137.0</v>
      </c>
      <c r="AQ40" s="190">
        <f t="shared" si="11"/>
        <v>0.4567861852</v>
      </c>
      <c r="AR40" s="183">
        <v>688755.0</v>
      </c>
      <c r="AS40" s="35">
        <v>306502.0</v>
      </c>
      <c r="AT40" s="35">
        <v>290008.0</v>
      </c>
      <c r="AU40" s="35">
        <v>326247.0</v>
      </c>
      <c r="AV40" s="35">
        <v>195656.0</v>
      </c>
      <c r="AW40" s="35">
        <v>461466.0</v>
      </c>
      <c r="AX40" s="35">
        <v>99801.0</v>
      </c>
      <c r="AY40" s="35">
        <v>127488.0</v>
      </c>
      <c r="AZ40" s="35">
        <v>516276.0</v>
      </c>
      <c r="BA40" s="35">
        <v>172479.0</v>
      </c>
      <c r="BB40" s="190">
        <v>0.031156269617986933</v>
      </c>
      <c r="BC40" s="183">
        <v>8040.0</v>
      </c>
      <c r="BD40" s="185">
        <v>5015.0</v>
      </c>
      <c r="BE40" s="209">
        <f t="shared" si="12"/>
        <v>0.03683789124</v>
      </c>
      <c r="BF40" s="201">
        <f t="shared" si="16"/>
        <v>0.6237562189</v>
      </c>
      <c r="BG40" s="185">
        <v>136.0</v>
      </c>
      <c r="BH40" s="185">
        <v>277.0</v>
      </c>
      <c r="BI40" s="185">
        <v>2255.0</v>
      </c>
      <c r="BJ40" s="185">
        <v>301.0</v>
      </c>
      <c r="BK40" s="185">
        <v>56.0</v>
      </c>
      <c r="BL40" s="35">
        <v>5914.0</v>
      </c>
      <c r="BM40" s="185">
        <v>2126.0</v>
      </c>
      <c r="BN40" s="196">
        <v>4091.0</v>
      </c>
      <c r="BO40" s="196">
        <v>3564.0</v>
      </c>
      <c r="BP40" s="196">
        <v>2133.0</v>
      </c>
      <c r="BQ40" s="196">
        <v>49.0</v>
      </c>
      <c r="BR40" s="196">
        <v>3900.0</v>
      </c>
      <c r="BS40" s="197"/>
      <c r="BT40" s="198"/>
      <c r="BU40" s="198"/>
      <c r="BV40" s="197"/>
      <c r="BW40" s="197"/>
    </row>
    <row r="41" ht="14.25" customHeight="1">
      <c r="A41" s="181" t="s">
        <v>159</v>
      </c>
      <c r="B41" s="182">
        <v>719.0</v>
      </c>
      <c r="C41" s="182" t="s">
        <v>186</v>
      </c>
      <c r="D41" s="183">
        <v>22815.0</v>
      </c>
      <c r="E41" s="271">
        <v>19206.0</v>
      </c>
      <c r="F41" s="274">
        <f t="shared" si="1"/>
        <v>0.8418145957</v>
      </c>
      <c r="G41" s="271">
        <v>3609.0</v>
      </c>
      <c r="H41" s="272">
        <v>16356.0</v>
      </c>
      <c r="I41" s="275">
        <f t="shared" si="2"/>
        <v>0.7168967784</v>
      </c>
      <c r="J41" s="184">
        <v>15318.0</v>
      </c>
      <c r="K41" s="185">
        <v>128.0</v>
      </c>
      <c r="L41" s="183">
        <v>608.0</v>
      </c>
      <c r="M41" s="274">
        <f t="shared" si="3"/>
        <v>0.02664913434</v>
      </c>
      <c r="N41" s="183">
        <v>5225.0</v>
      </c>
      <c r="O41" s="201">
        <f t="shared" si="4"/>
        <v>0.2290159982</v>
      </c>
      <c r="P41" s="185">
        <v>3091.0</v>
      </c>
      <c r="Q41" s="183">
        <v>462.0</v>
      </c>
      <c r="R41" s="183">
        <v>36.0</v>
      </c>
      <c r="S41" s="184">
        <v>15768.0</v>
      </c>
      <c r="T41" s="275">
        <f t="shared" si="5"/>
        <v>0.6911242604</v>
      </c>
      <c r="U41" s="184">
        <v>1002.0</v>
      </c>
      <c r="V41" s="201">
        <f t="shared" si="6"/>
        <v>0.04391847469</v>
      </c>
      <c r="W41" s="185">
        <v>6045.0</v>
      </c>
      <c r="X41" s="274">
        <f t="shared" si="7"/>
        <v>0.264957265</v>
      </c>
      <c r="Y41" s="273">
        <v>123212.0</v>
      </c>
      <c r="Z41" s="190">
        <v>0.6867431743661332</v>
      </c>
      <c r="AA41" s="183">
        <v>84615.0</v>
      </c>
      <c r="AB41" s="183">
        <v>38597.0</v>
      </c>
      <c r="AC41" s="185">
        <v>57282.0</v>
      </c>
      <c r="AD41" s="208">
        <f t="shared" si="8"/>
        <v>0.4649060156</v>
      </c>
      <c r="AE41" s="35">
        <v>51281.0</v>
      </c>
      <c r="AF41" s="35">
        <v>2073.0</v>
      </c>
      <c r="AG41" s="185">
        <v>5169.0</v>
      </c>
      <c r="AH41" s="208">
        <f t="shared" si="9"/>
        <v>0.04195208259</v>
      </c>
      <c r="AI41" s="35">
        <v>56329.0</v>
      </c>
      <c r="AJ41" s="208">
        <f t="shared" si="10"/>
        <v>0.4571713794</v>
      </c>
      <c r="AK41" s="35">
        <v>27894.0</v>
      </c>
      <c r="AL41" s="185">
        <v>2200.0</v>
      </c>
      <c r="AM41" s="185">
        <v>159.0</v>
      </c>
      <c r="AN41" s="35">
        <v>53758.0</v>
      </c>
      <c r="AO41" s="35">
        <v>26574.0</v>
      </c>
      <c r="AP41" s="35">
        <v>42880.0</v>
      </c>
      <c r="AQ41" s="190">
        <f t="shared" si="11"/>
        <v>0.5499788982</v>
      </c>
      <c r="AR41" s="183">
        <v>67764.0</v>
      </c>
      <c r="AS41" s="35">
        <v>23688.0</v>
      </c>
      <c r="AT41" s="35">
        <v>19939.0</v>
      </c>
      <c r="AU41" s="35">
        <v>39776.0</v>
      </c>
      <c r="AV41" s="35">
        <v>18348.0</v>
      </c>
      <c r="AW41" s="35">
        <v>33611.0</v>
      </c>
      <c r="AX41" s="35">
        <v>18816.0</v>
      </c>
      <c r="AY41" s="35">
        <v>15337.0</v>
      </c>
      <c r="AZ41" s="35">
        <v>40258.0</v>
      </c>
      <c r="BA41" s="35">
        <v>27506.0</v>
      </c>
      <c r="BB41" s="190">
        <v>0.15143545912776682</v>
      </c>
      <c r="BC41" s="183">
        <v>3455.0</v>
      </c>
      <c r="BD41" s="185">
        <v>3372.0</v>
      </c>
      <c r="BE41" s="214">
        <f t="shared" si="12"/>
        <v>0.206162876</v>
      </c>
      <c r="BF41" s="201">
        <f t="shared" si="16"/>
        <v>0.9759768452</v>
      </c>
      <c r="BG41" s="185">
        <v>9.0</v>
      </c>
      <c r="BH41" s="185">
        <v>19.0</v>
      </c>
      <c r="BI41" s="185">
        <v>49.0</v>
      </c>
      <c r="BJ41" s="185">
        <v>2.0</v>
      </c>
      <c r="BK41" s="185">
        <v>4.0</v>
      </c>
      <c r="BL41" s="35">
        <v>3327.0</v>
      </c>
      <c r="BM41" s="185">
        <v>128.0</v>
      </c>
      <c r="BN41" s="196">
        <v>3250.0</v>
      </c>
      <c r="BO41" s="196">
        <v>3242.0</v>
      </c>
      <c r="BP41" s="196">
        <v>3194.0</v>
      </c>
      <c r="BQ41" s="196">
        <v>2.0</v>
      </c>
      <c r="BR41" s="196">
        <v>203.0</v>
      </c>
      <c r="BS41" s="198"/>
      <c r="BT41" s="198"/>
      <c r="BU41" s="197"/>
      <c r="BV41" s="197"/>
      <c r="BW41" s="197"/>
    </row>
    <row r="42" ht="14.25" customHeight="1">
      <c r="A42" s="181" t="s">
        <v>153</v>
      </c>
      <c r="B42" s="182">
        <v>866.0</v>
      </c>
      <c r="C42" s="182" t="s">
        <v>187</v>
      </c>
      <c r="D42" s="183">
        <v>94744.0</v>
      </c>
      <c r="E42" s="271">
        <v>82551.0</v>
      </c>
      <c r="F42" s="274">
        <f t="shared" si="1"/>
        <v>0.8713058347</v>
      </c>
      <c r="G42" s="271">
        <v>12193.0</v>
      </c>
      <c r="H42" s="272">
        <v>83147.0</v>
      </c>
      <c r="I42" s="275">
        <f t="shared" si="2"/>
        <v>0.8775964705</v>
      </c>
      <c r="J42" s="184">
        <v>73191.0</v>
      </c>
      <c r="K42" s="185">
        <v>155.0</v>
      </c>
      <c r="L42" s="183">
        <v>88.0</v>
      </c>
      <c r="M42" s="274">
        <f t="shared" si="3"/>
        <v>0.0009288187115</v>
      </c>
      <c r="N42" s="183">
        <v>9750.0</v>
      </c>
      <c r="O42" s="201">
        <f t="shared" si="4"/>
        <v>0.1029088913</v>
      </c>
      <c r="P42" s="185">
        <v>7951.0</v>
      </c>
      <c r="Q42" s="185">
        <v>0.0</v>
      </c>
      <c r="R42" s="183">
        <v>1604.0</v>
      </c>
      <c r="S42" s="184">
        <v>76762.0</v>
      </c>
      <c r="T42" s="275">
        <f t="shared" si="5"/>
        <v>0.8102043401</v>
      </c>
      <c r="U42" s="184">
        <v>1222.0</v>
      </c>
      <c r="V42" s="201">
        <f t="shared" si="6"/>
        <v>0.01289791438</v>
      </c>
      <c r="W42" s="185">
        <v>16760.0</v>
      </c>
      <c r="X42" s="274">
        <f t="shared" si="7"/>
        <v>0.1768977455</v>
      </c>
      <c r="Y42" s="273">
        <v>581687.0</v>
      </c>
      <c r="Z42" s="190">
        <v>0.7947779475903708</v>
      </c>
      <c r="AA42" s="183">
        <v>462312.0</v>
      </c>
      <c r="AB42" s="183">
        <v>119375.0</v>
      </c>
      <c r="AC42" s="185">
        <v>471748.0</v>
      </c>
      <c r="AD42" s="208">
        <f t="shared" si="8"/>
        <v>0.8109997301</v>
      </c>
      <c r="AE42" s="35">
        <v>383954.0</v>
      </c>
      <c r="AF42" s="35">
        <v>3096.0</v>
      </c>
      <c r="AG42" s="185">
        <v>1042.0</v>
      </c>
      <c r="AH42" s="208">
        <f t="shared" si="9"/>
        <v>0.001791341392</v>
      </c>
      <c r="AI42" s="35">
        <v>94087.0</v>
      </c>
      <c r="AJ42" s="208">
        <f t="shared" si="10"/>
        <v>0.1617485005</v>
      </c>
      <c r="AK42" s="35">
        <v>67312.0</v>
      </c>
      <c r="AL42" s="185">
        <v>0.0</v>
      </c>
      <c r="AM42" s="185">
        <v>11714.0</v>
      </c>
      <c r="AN42" s="35">
        <v>326284.0</v>
      </c>
      <c r="AO42" s="35">
        <v>33410.0</v>
      </c>
      <c r="AP42" s="35">
        <v>221993.0</v>
      </c>
      <c r="AQ42" s="190">
        <f t="shared" si="11"/>
        <v>0.436231169</v>
      </c>
      <c r="AR42" s="183">
        <v>253750.0</v>
      </c>
      <c r="AS42" s="35">
        <v>188986.0</v>
      </c>
      <c r="AT42" s="35">
        <v>139315.0</v>
      </c>
      <c r="AU42" s="35">
        <v>57067.0</v>
      </c>
      <c r="AV42" s="35">
        <v>37389.0</v>
      </c>
      <c r="AW42" s="35">
        <v>150075.0</v>
      </c>
      <c r="AX42" s="35">
        <v>20974.0</v>
      </c>
      <c r="AY42" s="35">
        <v>82701.0</v>
      </c>
      <c r="AZ42" s="35">
        <v>181535.0</v>
      </c>
      <c r="BA42" s="35">
        <v>72215.0</v>
      </c>
      <c r="BB42" s="190">
        <v>0.050261758000506626</v>
      </c>
      <c r="BC42" s="183">
        <v>4762.0</v>
      </c>
      <c r="BD42" s="185">
        <v>4378.0</v>
      </c>
      <c r="BE42" s="209">
        <f t="shared" si="12"/>
        <v>0.05265373375</v>
      </c>
      <c r="BF42" s="201">
        <f t="shared" si="16"/>
        <v>0.9193616128</v>
      </c>
      <c r="BG42" s="185">
        <v>2.0</v>
      </c>
      <c r="BH42" s="185">
        <v>5.0</v>
      </c>
      <c r="BI42" s="185">
        <v>316.0</v>
      </c>
      <c r="BJ42" s="185">
        <v>0.0</v>
      </c>
      <c r="BK42" s="185">
        <v>61.0</v>
      </c>
      <c r="BL42" s="35">
        <v>4382.0</v>
      </c>
      <c r="BM42" s="185">
        <v>380.0</v>
      </c>
      <c r="BN42" s="196">
        <v>3831.0</v>
      </c>
      <c r="BO42" s="196">
        <v>3784.0</v>
      </c>
      <c r="BP42" s="196">
        <v>3483.0</v>
      </c>
      <c r="BQ42" s="196">
        <v>25.0</v>
      </c>
      <c r="BR42" s="196">
        <v>906.0</v>
      </c>
      <c r="BS42" s="197"/>
      <c r="BT42" s="198"/>
      <c r="BU42" s="198"/>
      <c r="BV42" s="197"/>
      <c r="BW42" s="197"/>
    </row>
    <row r="43" ht="14.25" customHeight="1">
      <c r="C43" s="230" t="s">
        <v>67</v>
      </c>
      <c r="D43" s="125">
        <v>1489115.0</v>
      </c>
      <c r="E43" s="277">
        <v>1234788.0</v>
      </c>
      <c r="F43" s="274">
        <f t="shared" si="1"/>
        <v>0.8292092955</v>
      </c>
      <c r="G43" s="277">
        <v>254327.0</v>
      </c>
      <c r="H43" s="277">
        <v>978290.0</v>
      </c>
      <c r="I43" s="275">
        <f t="shared" si="2"/>
        <v>0.656960678</v>
      </c>
      <c r="J43" s="125">
        <v>899748.0</v>
      </c>
      <c r="K43" s="114">
        <v>44096.0</v>
      </c>
      <c r="L43" s="125">
        <v>82480.0</v>
      </c>
      <c r="M43" s="274">
        <f t="shared" si="3"/>
        <v>0.0553886033</v>
      </c>
      <c r="N43" s="125">
        <v>335844.0</v>
      </c>
      <c r="O43" s="201">
        <f t="shared" si="4"/>
        <v>0.225532615</v>
      </c>
      <c r="P43" s="125">
        <v>203852.0</v>
      </c>
      <c r="Q43" s="125">
        <v>19965.0</v>
      </c>
      <c r="R43" s="125">
        <v>28440.0</v>
      </c>
      <c r="S43" s="125">
        <v>1102552.0</v>
      </c>
      <c r="T43" s="275">
        <f t="shared" si="5"/>
        <v>0.7404075575</v>
      </c>
      <c r="U43" s="125">
        <v>138302.0</v>
      </c>
      <c r="V43" s="201">
        <f t="shared" si="6"/>
        <v>0.09287529842</v>
      </c>
      <c r="W43" s="125">
        <v>248261.0</v>
      </c>
      <c r="X43" s="274">
        <f t="shared" si="7"/>
        <v>0.1667171441</v>
      </c>
      <c r="Y43" s="278">
        <v>9507123.0</v>
      </c>
      <c r="Z43" s="235">
        <v>0.7009308704641772</v>
      </c>
      <c r="AA43" s="125">
        <v>6663836.0</v>
      </c>
      <c r="AB43" s="125">
        <v>2843287.0</v>
      </c>
      <c r="AC43" s="125">
        <v>4681968.0</v>
      </c>
      <c r="AD43" s="208">
        <f t="shared" si="8"/>
        <v>0.4924694884</v>
      </c>
      <c r="AE43" s="125">
        <v>4000478.0</v>
      </c>
      <c r="AF43" s="125">
        <v>200478.0</v>
      </c>
      <c r="AG43" s="125">
        <v>796631.0</v>
      </c>
      <c r="AH43" s="208">
        <f t="shared" si="9"/>
        <v>0.08379306758</v>
      </c>
      <c r="AI43" s="125">
        <v>3540647.0</v>
      </c>
      <c r="AJ43" s="220">
        <f t="shared" si="10"/>
        <v>0.3724204473</v>
      </c>
      <c r="AK43" s="125">
        <v>1848924.0</v>
      </c>
      <c r="AL43" s="125">
        <v>94277.0</v>
      </c>
      <c r="AM43" s="125">
        <v>193122.0</v>
      </c>
      <c r="AN43" s="125">
        <v>4835241.0</v>
      </c>
      <c r="AO43" s="125">
        <v>2555279.0</v>
      </c>
      <c r="AP43" s="125">
        <v>2116603.0</v>
      </c>
      <c r="AQ43" s="235">
        <f t="shared" si="11"/>
        <v>0.5129556018</v>
      </c>
      <c r="AR43" s="237">
        <v>4876732.0</v>
      </c>
      <c r="AS43" s="237">
        <v>2071826.0</v>
      </c>
      <c r="AT43" s="114">
        <f t="shared" ref="AT43:AV43" si="17">SUM(AT7:AT42)</f>
        <v>1647759</v>
      </c>
      <c r="AU43" s="114">
        <f t="shared" si="17"/>
        <v>2232038</v>
      </c>
      <c r="AV43" s="114">
        <f t="shared" si="17"/>
        <v>1002117</v>
      </c>
      <c r="AW43" s="237">
        <v>2458330.0</v>
      </c>
      <c r="AX43" s="237">
        <v>1540439.0</v>
      </c>
      <c r="AY43" s="237">
        <v>877963.0</v>
      </c>
      <c r="AZ43" s="237">
        <v>2963057.0</v>
      </c>
      <c r="BA43" s="237">
        <v>1913675.0</v>
      </c>
      <c r="BB43" s="235">
        <v>0.07876154628756006</v>
      </c>
      <c r="BC43" s="125">
        <v>117285.0</v>
      </c>
      <c r="BD43" s="125">
        <v>92901.0</v>
      </c>
      <c r="BE43" s="209">
        <f t="shared" si="12"/>
        <v>0.09496263889</v>
      </c>
      <c r="BF43" s="201">
        <f t="shared" si="16"/>
        <v>0.792096176</v>
      </c>
      <c r="BG43" s="228">
        <v>11517.0</v>
      </c>
      <c r="BH43" s="125">
        <v>3911.0</v>
      </c>
      <c r="BI43" s="125">
        <v>6914.0</v>
      </c>
      <c r="BJ43" s="125">
        <v>1288.0</v>
      </c>
      <c r="BK43" s="125">
        <v>754.0</v>
      </c>
      <c r="BL43" s="114">
        <v>107916.0</v>
      </c>
      <c r="BM43" s="114">
        <v>9369.0</v>
      </c>
      <c r="BN43" s="241">
        <f t="shared" ref="BN43:BR43" si="18">SUM(BN7:BN42)</f>
        <v>105067</v>
      </c>
      <c r="BO43" s="241">
        <f t="shared" si="18"/>
        <v>98436</v>
      </c>
      <c r="BP43" s="241">
        <f t="shared" si="18"/>
        <v>84508</v>
      </c>
      <c r="BQ43" s="241">
        <f t="shared" si="18"/>
        <v>617</v>
      </c>
      <c r="BR43" s="242">
        <f t="shared" si="18"/>
        <v>11601</v>
      </c>
    </row>
    <row r="44" ht="14.25" customHeight="1">
      <c r="E44" s="260"/>
      <c r="G44" s="260"/>
      <c r="H44" s="260"/>
      <c r="Y44" s="261"/>
      <c r="AD44" s="53"/>
      <c r="AE44" s="53"/>
      <c r="AJ44" s="53"/>
      <c r="AQ44" s="183"/>
      <c r="AR44" s="246"/>
      <c r="AU44" s="246"/>
      <c r="AV44" s="246"/>
      <c r="AZ44" s="246">
        <f t="shared" ref="AZ44:BA44" si="19">AZ43/AA43</f>
        <v>0.4446473473</v>
      </c>
      <c r="BA44" s="246">
        <f t="shared" si="19"/>
        <v>0.6730502408</v>
      </c>
      <c r="BD44" s="246">
        <f>BD43/BC43</f>
        <v>0.792096176</v>
      </c>
      <c r="BE44" s="209"/>
      <c r="BF44" s="185"/>
      <c r="BG44" s="247"/>
      <c r="BH44" s="247"/>
      <c r="BI44" s="246">
        <f>BI43/BC43</f>
        <v>0.05895041992</v>
      </c>
    </row>
    <row r="45" ht="14.25" customHeight="1">
      <c r="E45" s="260"/>
      <c r="G45" s="260"/>
      <c r="H45" s="260"/>
      <c r="Y45" s="261"/>
      <c r="AJ45" s="53"/>
      <c r="AW45" s="246">
        <f t="shared" ref="AW45:AY45" si="20">AW43/AN43</f>
        <v>0.5084193321</v>
      </c>
      <c r="AX45" s="246">
        <f t="shared" si="20"/>
        <v>0.6028457167</v>
      </c>
      <c r="AY45" s="246">
        <f t="shared" si="20"/>
        <v>0.4147981459</v>
      </c>
      <c r="BF45" s="185"/>
    </row>
    <row r="46" ht="14.25" customHeight="1">
      <c r="E46" s="260"/>
      <c r="G46" s="260"/>
      <c r="H46" s="260"/>
      <c r="Y46" s="261"/>
      <c r="AJ46" s="53"/>
    </row>
    <row r="47" ht="14.25" customHeight="1">
      <c r="E47" s="260"/>
      <c r="G47" s="260"/>
      <c r="H47" s="260"/>
      <c r="Y47" s="261"/>
      <c r="AJ47" s="53"/>
    </row>
    <row r="48" ht="14.25" customHeight="1">
      <c r="E48" s="260"/>
      <c r="G48" s="260"/>
      <c r="H48" s="260"/>
      <c r="Y48" s="261"/>
      <c r="AJ48" s="53"/>
    </row>
    <row r="49" ht="14.25" customHeight="1">
      <c r="E49" s="260"/>
      <c r="G49" s="260"/>
      <c r="H49" s="260"/>
      <c r="Y49" s="261"/>
      <c r="AJ49" s="53"/>
    </row>
    <row r="50" ht="14.25" customHeight="1">
      <c r="E50" s="260"/>
      <c r="G50" s="260"/>
      <c r="H50" s="260"/>
      <c r="Y50" s="261"/>
      <c r="AJ50" s="53"/>
    </row>
    <row r="51" ht="14.25" customHeight="1">
      <c r="E51" s="260"/>
      <c r="G51" s="260"/>
      <c r="H51" s="260"/>
      <c r="Y51" s="261"/>
      <c r="AJ51" s="53"/>
    </row>
    <row r="52" ht="14.25" customHeight="1">
      <c r="E52" s="260"/>
      <c r="G52" s="260"/>
      <c r="H52" s="260"/>
      <c r="Y52" s="261"/>
      <c r="AJ52" s="53"/>
    </row>
    <row r="53" ht="14.25" customHeight="1">
      <c r="E53" s="260"/>
      <c r="G53" s="260"/>
      <c r="H53" s="260"/>
      <c r="Y53" s="261"/>
      <c r="AJ53" s="53"/>
    </row>
    <row r="54" ht="14.25" customHeight="1">
      <c r="E54" s="260"/>
      <c r="G54" s="260"/>
      <c r="H54" s="260"/>
      <c r="Y54" s="261"/>
      <c r="AJ54" s="53"/>
    </row>
    <row r="55" ht="14.25" customHeight="1">
      <c r="E55" s="260"/>
      <c r="G55" s="260"/>
      <c r="H55" s="260"/>
      <c r="Y55" s="261"/>
      <c r="AJ55" s="53"/>
    </row>
    <row r="56" ht="14.25" customHeight="1">
      <c r="E56" s="260"/>
      <c r="G56" s="260"/>
      <c r="H56" s="260"/>
      <c r="Y56" s="261"/>
      <c r="AJ56" s="53"/>
    </row>
    <row r="57" ht="14.25" customHeight="1">
      <c r="E57" s="260"/>
      <c r="G57" s="260"/>
      <c r="H57" s="260"/>
      <c r="Y57" s="261"/>
      <c r="AJ57" s="53"/>
    </row>
    <row r="58" ht="14.25" customHeight="1">
      <c r="E58" s="260"/>
      <c r="G58" s="260"/>
      <c r="H58" s="260"/>
      <c r="Y58" s="261"/>
      <c r="AJ58" s="53"/>
    </row>
    <row r="59" ht="14.25" customHeight="1">
      <c r="E59" s="260"/>
      <c r="G59" s="260"/>
      <c r="H59" s="260"/>
      <c r="Y59" s="261"/>
      <c r="AJ59" s="53"/>
    </row>
    <row r="60" ht="14.25" customHeight="1">
      <c r="E60" s="260"/>
      <c r="G60" s="260"/>
      <c r="H60" s="260"/>
      <c r="Y60" s="261"/>
      <c r="AJ60" s="53"/>
    </row>
    <row r="61" ht="14.25" customHeight="1">
      <c r="E61" s="260"/>
      <c r="G61" s="260"/>
      <c r="H61" s="260"/>
      <c r="Y61" s="261"/>
      <c r="AJ61" s="53"/>
    </row>
    <row r="62" ht="14.25" customHeight="1">
      <c r="E62" s="260"/>
      <c r="G62" s="260"/>
      <c r="H62" s="260"/>
      <c r="Y62" s="261"/>
      <c r="AJ62" s="53"/>
    </row>
    <row r="63" ht="14.25" customHeight="1">
      <c r="E63" s="260"/>
      <c r="G63" s="260"/>
      <c r="H63" s="260"/>
      <c r="Y63" s="261"/>
      <c r="AJ63" s="53"/>
    </row>
    <row r="64" ht="14.25" customHeight="1">
      <c r="E64" s="260"/>
      <c r="G64" s="260"/>
      <c r="H64" s="260"/>
      <c r="Y64" s="261"/>
      <c r="AJ64" s="53"/>
    </row>
    <row r="65" ht="14.25" customHeight="1">
      <c r="E65" s="260"/>
      <c r="G65" s="260"/>
      <c r="H65" s="260"/>
      <c r="Y65" s="261"/>
      <c r="AJ65" s="53"/>
    </row>
    <row r="66" ht="14.25" customHeight="1">
      <c r="E66" s="260"/>
      <c r="G66" s="260"/>
      <c r="H66" s="260"/>
      <c r="Y66" s="261"/>
      <c r="AJ66" s="53"/>
    </row>
    <row r="67" ht="14.25" customHeight="1">
      <c r="E67" s="260"/>
      <c r="G67" s="260"/>
      <c r="H67" s="260"/>
      <c r="Y67" s="261"/>
      <c r="AJ67" s="53"/>
    </row>
    <row r="68" ht="14.25" customHeight="1">
      <c r="E68" s="260"/>
      <c r="G68" s="260"/>
      <c r="H68" s="260"/>
      <c r="Y68" s="261"/>
      <c r="AJ68" s="53"/>
    </row>
    <row r="69" ht="14.25" customHeight="1">
      <c r="E69" s="260"/>
      <c r="G69" s="260"/>
      <c r="H69" s="260"/>
      <c r="Y69" s="261"/>
      <c r="AJ69" s="53"/>
    </row>
    <row r="70" ht="14.25" customHeight="1">
      <c r="E70" s="260"/>
      <c r="G70" s="260"/>
      <c r="H70" s="260"/>
      <c r="Y70" s="261"/>
      <c r="AJ70" s="53"/>
    </row>
    <row r="71" ht="14.25" customHeight="1">
      <c r="E71" s="260"/>
      <c r="G71" s="260"/>
      <c r="H71" s="260"/>
      <c r="Y71" s="261"/>
      <c r="AJ71" s="53"/>
    </row>
    <row r="72" ht="14.25" customHeight="1">
      <c r="E72" s="260"/>
      <c r="G72" s="260"/>
      <c r="H72" s="260"/>
      <c r="Y72" s="261"/>
      <c r="AJ72" s="53"/>
    </row>
    <row r="73" ht="14.25" customHeight="1">
      <c r="E73" s="260"/>
      <c r="G73" s="260"/>
      <c r="H73" s="260"/>
      <c r="Y73" s="261"/>
      <c r="AJ73" s="53"/>
    </row>
    <row r="74" ht="14.25" customHeight="1">
      <c r="E74" s="260"/>
      <c r="G74" s="260"/>
      <c r="H74" s="260"/>
      <c r="Y74" s="261"/>
      <c r="AJ74" s="53"/>
    </row>
    <row r="75" ht="14.25" customHeight="1">
      <c r="E75" s="260"/>
      <c r="G75" s="260"/>
      <c r="H75" s="260"/>
      <c r="Y75" s="261"/>
      <c r="AJ75" s="53"/>
    </row>
    <row r="76" ht="14.25" customHeight="1">
      <c r="E76" s="260"/>
      <c r="G76" s="260"/>
      <c r="H76" s="260"/>
      <c r="Y76" s="261"/>
      <c r="AJ76" s="53"/>
    </row>
    <row r="77" ht="14.25" customHeight="1">
      <c r="E77" s="260"/>
      <c r="G77" s="260"/>
      <c r="H77" s="260"/>
      <c r="Y77" s="261"/>
      <c r="AJ77" s="53"/>
    </row>
    <row r="78" ht="14.25" customHeight="1">
      <c r="E78" s="260"/>
      <c r="G78" s="260"/>
      <c r="H78" s="260"/>
      <c r="Y78" s="261"/>
      <c r="AJ78" s="53"/>
    </row>
    <row r="79" ht="14.25" customHeight="1">
      <c r="E79" s="260"/>
      <c r="G79" s="260"/>
      <c r="H79" s="260"/>
      <c r="Y79" s="261"/>
      <c r="AJ79" s="53"/>
    </row>
    <row r="80" ht="14.25" customHeight="1">
      <c r="E80" s="260"/>
      <c r="G80" s="260"/>
      <c r="H80" s="260"/>
      <c r="Y80" s="261"/>
      <c r="AJ80" s="53"/>
    </row>
    <row r="81" ht="14.25" customHeight="1">
      <c r="E81" s="260"/>
      <c r="G81" s="260"/>
      <c r="H81" s="260"/>
      <c r="Y81" s="261"/>
      <c r="AJ81" s="53"/>
    </row>
    <row r="82" ht="14.25" customHeight="1">
      <c r="E82" s="260"/>
      <c r="G82" s="260"/>
      <c r="H82" s="260"/>
      <c r="Y82" s="261"/>
      <c r="AJ82" s="53"/>
    </row>
    <row r="83" ht="14.25" customHeight="1">
      <c r="E83" s="260"/>
      <c r="G83" s="260"/>
      <c r="H83" s="260"/>
      <c r="Y83" s="261"/>
      <c r="AJ83" s="53"/>
    </row>
    <row r="84" ht="14.25" customHeight="1">
      <c r="E84" s="260"/>
      <c r="G84" s="260"/>
      <c r="H84" s="260"/>
      <c r="Y84" s="261"/>
      <c r="AJ84" s="53"/>
    </row>
    <row r="85" ht="14.25" customHeight="1">
      <c r="E85" s="260"/>
      <c r="G85" s="260"/>
      <c r="H85" s="260"/>
      <c r="Y85" s="261"/>
      <c r="AJ85" s="53"/>
    </row>
    <row r="86" ht="14.25" customHeight="1">
      <c r="E86" s="260"/>
      <c r="G86" s="260"/>
      <c r="H86" s="260"/>
      <c r="Y86" s="261"/>
      <c r="AJ86" s="53"/>
    </row>
    <row r="87" ht="14.25" customHeight="1">
      <c r="E87" s="260"/>
      <c r="G87" s="260"/>
      <c r="H87" s="260"/>
      <c r="Y87" s="261"/>
      <c r="AJ87" s="53"/>
    </row>
    <row r="88" ht="14.25" customHeight="1">
      <c r="E88" s="260"/>
      <c r="G88" s="260"/>
      <c r="H88" s="260"/>
      <c r="Y88" s="261"/>
      <c r="AJ88" s="53"/>
    </row>
    <row r="89" ht="14.25" customHeight="1">
      <c r="E89" s="260"/>
      <c r="G89" s="260"/>
      <c r="H89" s="260"/>
      <c r="Y89" s="261"/>
      <c r="AJ89" s="53"/>
    </row>
    <row r="90" ht="14.25" customHeight="1">
      <c r="E90" s="260"/>
      <c r="G90" s="260"/>
      <c r="H90" s="260"/>
      <c r="Y90" s="261"/>
      <c r="AJ90" s="53"/>
    </row>
    <row r="91" ht="14.25" customHeight="1">
      <c r="E91" s="260"/>
      <c r="G91" s="260"/>
      <c r="H91" s="260"/>
      <c r="Y91" s="261"/>
      <c r="AJ91" s="53"/>
    </row>
    <row r="92" ht="14.25" customHeight="1">
      <c r="E92" s="260"/>
      <c r="G92" s="260"/>
      <c r="H92" s="260"/>
      <c r="Y92" s="261"/>
      <c r="AJ92" s="53"/>
    </row>
    <row r="93" ht="14.25" customHeight="1">
      <c r="E93" s="260"/>
      <c r="G93" s="260"/>
      <c r="H93" s="260"/>
      <c r="Y93" s="261"/>
      <c r="AJ93" s="53"/>
    </row>
    <row r="94" ht="14.25" customHeight="1">
      <c r="E94" s="260"/>
      <c r="G94" s="260"/>
      <c r="H94" s="260"/>
      <c r="Y94" s="261"/>
      <c r="AJ94" s="53"/>
    </row>
    <row r="95" ht="14.25" customHeight="1">
      <c r="E95" s="260"/>
      <c r="G95" s="260"/>
      <c r="H95" s="260"/>
      <c r="Y95" s="261"/>
      <c r="AJ95" s="53"/>
    </row>
    <row r="96" ht="14.25" customHeight="1">
      <c r="E96" s="260"/>
      <c r="G96" s="260"/>
      <c r="H96" s="260"/>
      <c r="Y96" s="261"/>
      <c r="AJ96" s="53"/>
    </row>
    <row r="97" ht="14.25" customHeight="1">
      <c r="E97" s="260"/>
      <c r="G97" s="260"/>
      <c r="H97" s="260"/>
      <c r="Y97" s="261"/>
      <c r="AJ97" s="53"/>
    </row>
    <row r="98" ht="14.25" customHeight="1">
      <c r="E98" s="260"/>
      <c r="G98" s="260"/>
      <c r="H98" s="260"/>
      <c r="Y98" s="261"/>
      <c r="AJ98" s="53"/>
    </row>
    <row r="99" ht="14.25" customHeight="1">
      <c r="E99" s="260"/>
      <c r="G99" s="260"/>
      <c r="H99" s="260"/>
      <c r="Y99" s="261"/>
      <c r="AJ99" s="53"/>
    </row>
    <row r="100" ht="14.25" customHeight="1">
      <c r="E100" s="260"/>
      <c r="G100" s="260"/>
      <c r="H100" s="260"/>
      <c r="Y100" s="261"/>
      <c r="AJ100" s="53"/>
    </row>
    <row r="101" ht="14.25" customHeight="1">
      <c r="E101" s="260"/>
      <c r="G101" s="260"/>
      <c r="H101" s="260"/>
      <c r="Y101" s="261"/>
      <c r="AJ101" s="53"/>
    </row>
    <row r="102" ht="14.25" customHeight="1">
      <c r="E102" s="260"/>
      <c r="G102" s="260"/>
      <c r="H102" s="260"/>
      <c r="Y102" s="261"/>
      <c r="AJ102" s="53"/>
    </row>
    <row r="103" ht="14.25" customHeight="1">
      <c r="E103" s="260"/>
      <c r="G103" s="260"/>
      <c r="H103" s="260"/>
      <c r="Y103" s="261"/>
      <c r="AJ103" s="53"/>
    </row>
    <row r="104" ht="14.25" customHeight="1">
      <c r="E104" s="260"/>
      <c r="G104" s="260"/>
      <c r="H104" s="260"/>
      <c r="Y104" s="261"/>
      <c r="AJ104" s="53"/>
    </row>
    <row r="105" ht="14.25" customHeight="1">
      <c r="E105" s="260"/>
      <c r="G105" s="260"/>
      <c r="H105" s="260"/>
      <c r="Y105" s="261"/>
      <c r="AJ105" s="53"/>
    </row>
    <row r="106" ht="14.25" customHeight="1">
      <c r="E106" s="260"/>
      <c r="G106" s="260"/>
      <c r="H106" s="260"/>
      <c r="Y106" s="261"/>
      <c r="AJ106" s="53"/>
    </row>
    <row r="107" ht="14.25" customHeight="1">
      <c r="E107" s="260"/>
      <c r="G107" s="260"/>
      <c r="H107" s="260"/>
      <c r="Y107" s="261"/>
      <c r="AJ107" s="53"/>
    </row>
    <row r="108" ht="14.25" customHeight="1">
      <c r="E108" s="260"/>
      <c r="G108" s="260"/>
      <c r="H108" s="260"/>
      <c r="Y108" s="261"/>
      <c r="AJ108" s="53"/>
    </row>
    <row r="109" ht="14.25" customHeight="1">
      <c r="E109" s="260"/>
      <c r="G109" s="260"/>
      <c r="H109" s="260"/>
      <c r="Y109" s="261"/>
      <c r="AJ109" s="53"/>
    </row>
    <row r="110" ht="14.25" customHeight="1">
      <c r="E110" s="260"/>
      <c r="G110" s="260"/>
      <c r="H110" s="260"/>
      <c r="Y110" s="261"/>
      <c r="AJ110" s="53"/>
    </row>
    <row r="111" ht="14.25" customHeight="1">
      <c r="E111" s="260"/>
      <c r="G111" s="260"/>
      <c r="H111" s="260"/>
      <c r="Y111" s="261"/>
      <c r="AJ111" s="53"/>
    </row>
    <row r="112" ht="14.25" customHeight="1">
      <c r="E112" s="260"/>
      <c r="G112" s="260"/>
      <c r="H112" s="260"/>
      <c r="Y112" s="261"/>
      <c r="AJ112" s="53"/>
    </row>
    <row r="113" ht="14.25" customHeight="1">
      <c r="E113" s="260"/>
      <c r="G113" s="260"/>
      <c r="H113" s="260"/>
      <c r="Y113" s="261"/>
      <c r="AJ113" s="53"/>
    </row>
    <row r="114" ht="14.25" customHeight="1">
      <c r="E114" s="260"/>
      <c r="G114" s="260"/>
      <c r="H114" s="260"/>
      <c r="Y114" s="261"/>
      <c r="AJ114" s="53"/>
    </row>
    <row r="115" ht="14.25" customHeight="1">
      <c r="E115" s="260"/>
      <c r="G115" s="260"/>
      <c r="H115" s="260"/>
      <c r="Y115" s="261"/>
      <c r="AJ115" s="53"/>
    </row>
    <row r="116" ht="14.25" customHeight="1">
      <c r="E116" s="260"/>
      <c r="G116" s="260"/>
      <c r="H116" s="260"/>
      <c r="Y116" s="261"/>
      <c r="AJ116" s="53"/>
    </row>
    <row r="117" ht="14.25" customHeight="1">
      <c r="E117" s="260"/>
      <c r="G117" s="260"/>
      <c r="H117" s="260"/>
      <c r="Y117" s="261"/>
      <c r="AJ117" s="53"/>
    </row>
    <row r="118" ht="14.25" customHeight="1">
      <c r="E118" s="260"/>
      <c r="G118" s="260"/>
      <c r="H118" s="260"/>
      <c r="Y118" s="261"/>
      <c r="AJ118" s="53"/>
    </row>
    <row r="119" ht="14.25" customHeight="1">
      <c r="E119" s="260"/>
      <c r="G119" s="260"/>
      <c r="H119" s="260"/>
      <c r="Y119" s="261"/>
      <c r="AJ119" s="53"/>
    </row>
    <row r="120" ht="14.25" customHeight="1">
      <c r="E120" s="260"/>
      <c r="G120" s="260"/>
      <c r="H120" s="260"/>
      <c r="Y120" s="261"/>
      <c r="AJ120" s="53"/>
    </row>
    <row r="121" ht="14.25" customHeight="1">
      <c r="E121" s="260"/>
      <c r="G121" s="260"/>
      <c r="H121" s="260"/>
      <c r="Y121" s="261"/>
      <c r="AJ121" s="53"/>
    </row>
    <row r="122" ht="14.25" customHeight="1">
      <c r="E122" s="260"/>
      <c r="G122" s="260"/>
      <c r="H122" s="260"/>
      <c r="Y122" s="261"/>
      <c r="AJ122" s="53"/>
    </row>
    <row r="123" ht="14.25" customHeight="1">
      <c r="E123" s="260"/>
      <c r="G123" s="260"/>
      <c r="H123" s="260"/>
      <c r="Y123" s="261"/>
      <c r="AJ123" s="53"/>
    </row>
    <row r="124" ht="14.25" customHeight="1">
      <c r="E124" s="260"/>
      <c r="G124" s="260"/>
      <c r="H124" s="260"/>
      <c r="Y124" s="261"/>
      <c r="AJ124" s="53"/>
    </row>
    <row r="125" ht="14.25" customHeight="1">
      <c r="E125" s="260"/>
      <c r="G125" s="260"/>
      <c r="H125" s="260"/>
      <c r="Y125" s="261"/>
      <c r="AJ125" s="53"/>
    </row>
    <row r="126" ht="14.25" customHeight="1">
      <c r="E126" s="260"/>
      <c r="G126" s="260"/>
      <c r="H126" s="260"/>
      <c r="Y126" s="261"/>
      <c r="AJ126" s="53"/>
    </row>
    <row r="127" ht="14.25" customHeight="1">
      <c r="E127" s="260"/>
      <c r="G127" s="260"/>
      <c r="H127" s="260"/>
      <c r="Y127" s="261"/>
      <c r="AJ127" s="53"/>
    </row>
    <row r="128" ht="14.25" customHeight="1">
      <c r="E128" s="260"/>
      <c r="G128" s="260"/>
      <c r="H128" s="260"/>
      <c r="Y128" s="261"/>
      <c r="AJ128" s="53"/>
    </row>
    <row r="129" ht="14.25" customHeight="1">
      <c r="E129" s="260"/>
      <c r="G129" s="260"/>
      <c r="H129" s="260"/>
      <c r="Y129" s="261"/>
      <c r="AJ129" s="53"/>
    </row>
    <row r="130" ht="14.25" customHeight="1">
      <c r="E130" s="260"/>
      <c r="G130" s="260"/>
      <c r="H130" s="260"/>
      <c r="Y130" s="261"/>
      <c r="AJ130" s="53"/>
    </row>
    <row r="131" ht="14.25" customHeight="1">
      <c r="E131" s="260"/>
      <c r="G131" s="260"/>
      <c r="H131" s="260"/>
      <c r="Y131" s="261"/>
      <c r="AJ131" s="53"/>
    </row>
    <row r="132" ht="14.25" customHeight="1">
      <c r="E132" s="260"/>
      <c r="G132" s="260"/>
      <c r="H132" s="260"/>
      <c r="Y132" s="261"/>
      <c r="AJ132" s="53"/>
    </row>
    <row r="133" ht="14.25" customHeight="1">
      <c r="E133" s="260"/>
      <c r="G133" s="260"/>
      <c r="H133" s="260"/>
      <c r="Y133" s="261"/>
      <c r="AJ133" s="53"/>
    </row>
    <row r="134" ht="14.25" customHeight="1">
      <c r="E134" s="260"/>
      <c r="G134" s="260"/>
      <c r="H134" s="260"/>
      <c r="Y134" s="261"/>
      <c r="AJ134" s="53"/>
    </row>
    <row r="135" ht="14.25" customHeight="1">
      <c r="E135" s="260"/>
      <c r="G135" s="260"/>
      <c r="H135" s="260"/>
      <c r="Y135" s="261"/>
      <c r="AJ135" s="53"/>
    </row>
    <row r="136" ht="14.25" customHeight="1">
      <c r="E136" s="260"/>
      <c r="G136" s="260"/>
      <c r="H136" s="260"/>
      <c r="Y136" s="261"/>
      <c r="AJ136" s="53"/>
    </row>
    <row r="137" ht="14.25" customHeight="1">
      <c r="E137" s="260"/>
      <c r="G137" s="260"/>
      <c r="H137" s="260"/>
      <c r="Y137" s="261"/>
      <c r="AJ137" s="53"/>
    </row>
    <row r="138" ht="14.25" customHeight="1">
      <c r="E138" s="260"/>
      <c r="G138" s="260"/>
      <c r="H138" s="260"/>
      <c r="Y138" s="261"/>
      <c r="AJ138" s="53"/>
    </row>
    <row r="139" ht="14.25" customHeight="1">
      <c r="E139" s="260"/>
      <c r="G139" s="260"/>
      <c r="H139" s="260"/>
      <c r="Y139" s="261"/>
      <c r="AJ139" s="53"/>
    </row>
    <row r="140" ht="14.25" customHeight="1">
      <c r="E140" s="260"/>
      <c r="G140" s="260"/>
      <c r="H140" s="260"/>
      <c r="Y140" s="261"/>
      <c r="AJ140" s="53"/>
    </row>
    <row r="141" ht="14.25" customHeight="1">
      <c r="E141" s="260"/>
      <c r="G141" s="260"/>
      <c r="H141" s="260"/>
      <c r="Y141" s="261"/>
      <c r="AJ141" s="53"/>
    </row>
    <row r="142" ht="14.25" customHeight="1">
      <c r="E142" s="260"/>
      <c r="G142" s="260"/>
      <c r="H142" s="260"/>
      <c r="Y142" s="261"/>
      <c r="AJ142" s="53"/>
    </row>
    <row r="143" ht="14.25" customHeight="1">
      <c r="E143" s="260"/>
      <c r="G143" s="260"/>
      <c r="H143" s="260"/>
      <c r="Y143" s="261"/>
      <c r="AJ143" s="53"/>
    </row>
    <row r="144" ht="14.25" customHeight="1">
      <c r="E144" s="260"/>
      <c r="G144" s="260"/>
      <c r="H144" s="260"/>
      <c r="Y144" s="261"/>
      <c r="AJ144" s="53"/>
    </row>
    <row r="145" ht="14.25" customHeight="1">
      <c r="E145" s="260"/>
      <c r="G145" s="260"/>
      <c r="H145" s="260"/>
      <c r="Y145" s="261"/>
      <c r="AJ145" s="53"/>
    </row>
    <row r="146" ht="14.25" customHeight="1">
      <c r="E146" s="260"/>
      <c r="G146" s="260"/>
      <c r="H146" s="260"/>
      <c r="Y146" s="261"/>
      <c r="AJ146" s="53"/>
    </row>
    <row r="147" ht="14.25" customHeight="1">
      <c r="E147" s="260"/>
      <c r="G147" s="260"/>
      <c r="H147" s="260"/>
      <c r="Y147" s="261"/>
      <c r="AJ147" s="53"/>
    </row>
    <row r="148" ht="14.25" customHeight="1">
      <c r="E148" s="260"/>
      <c r="G148" s="260"/>
      <c r="H148" s="260"/>
      <c r="Y148" s="261"/>
      <c r="AJ148" s="53"/>
    </row>
    <row r="149" ht="14.25" customHeight="1">
      <c r="E149" s="260"/>
      <c r="G149" s="260"/>
      <c r="H149" s="260"/>
      <c r="Y149" s="261"/>
      <c r="AJ149" s="53"/>
    </row>
    <row r="150" ht="14.25" customHeight="1">
      <c r="E150" s="260"/>
      <c r="G150" s="260"/>
      <c r="H150" s="260"/>
      <c r="Y150" s="261"/>
      <c r="AJ150" s="53"/>
    </row>
    <row r="151" ht="14.25" customHeight="1">
      <c r="E151" s="260"/>
      <c r="G151" s="260"/>
      <c r="H151" s="260"/>
      <c r="Y151" s="261"/>
      <c r="AJ151" s="53"/>
    </row>
    <row r="152" ht="14.25" customHeight="1">
      <c r="E152" s="260"/>
      <c r="G152" s="260"/>
      <c r="H152" s="260"/>
      <c r="Y152" s="261"/>
      <c r="AJ152" s="53"/>
    </row>
    <row r="153" ht="14.25" customHeight="1">
      <c r="E153" s="260"/>
      <c r="G153" s="260"/>
      <c r="H153" s="260"/>
      <c r="Y153" s="261"/>
      <c r="AJ153" s="53"/>
    </row>
    <row r="154" ht="14.25" customHeight="1">
      <c r="E154" s="260"/>
      <c r="G154" s="260"/>
      <c r="H154" s="260"/>
      <c r="Y154" s="261"/>
      <c r="AJ154" s="53"/>
    </row>
    <row r="155" ht="14.25" customHeight="1">
      <c r="E155" s="260"/>
      <c r="G155" s="260"/>
      <c r="H155" s="260"/>
      <c r="Y155" s="261"/>
      <c r="AJ155" s="53"/>
    </row>
    <row r="156" ht="14.25" customHeight="1">
      <c r="E156" s="260"/>
      <c r="G156" s="260"/>
      <c r="H156" s="260"/>
      <c r="Y156" s="261"/>
      <c r="AJ156" s="53"/>
    </row>
    <row r="157" ht="14.25" customHeight="1">
      <c r="E157" s="260"/>
      <c r="G157" s="260"/>
      <c r="H157" s="260"/>
      <c r="Y157" s="261"/>
      <c r="AJ157" s="53"/>
    </row>
    <row r="158" ht="14.25" customHeight="1">
      <c r="E158" s="260"/>
      <c r="G158" s="260"/>
      <c r="H158" s="260"/>
      <c r="Y158" s="261"/>
      <c r="AJ158" s="53"/>
    </row>
    <row r="159" ht="14.25" customHeight="1">
      <c r="E159" s="260"/>
      <c r="G159" s="260"/>
      <c r="H159" s="260"/>
      <c r="Y159" s="261"/>
      <c r="AJ159" s="53"/>
    </row>
    <row r="160" ht="14.25" customHeight="1">
      <c r="E160" s="260"/>
      <c r="G160" s="260"/>
      <c r="H160" s="260"/>
      <c r="Y160" s="261"/>
      <c r="AJ160" s="53"/>
    </row>
    <row r="161" ht="14.25" customHeight="1">
      <c r="E161" s="260"/>
      <c r="G161" s="260"/>
      <c r="H161" s="260"/>
      <c r="Y161" s="261"/>
      <c r="AJ161" s="53"/>
    </row>
    <row r="162" ht="14.25" customHeight="1">
      <c r="E162" s="260"/>
      <c r="G162" s="260"/>
      <c r="H162" s="260"/>
      <c r="Y162" s="261"/>
      <c r="AJ162" s="53"/>
    </row>
    <row r="163" ht="14.25" customHeight="1">
      <c r="E163" s="260"/>
      <c r="G163" s="260"/>
      <c r="H163" s="260"/>
      <c r="Y163" s="261"/>
      <c r="AJ163" s="53"/>
    </row>
    <row r="164" ht="14.25" customHeight="1">
      <c r="E164" s="260"/>
      <c r="G164" s="260"/>
      <c r="H164" s="260"/>
      <c r="Y164" s="261"/>
      <c r="AJ164" s="53"/>
    </row>
    <row r="165" ht="14.25" customHeight="1">
      <c r="E165" s="260"/>
      <c r="G165" s="260"/>
      <c r="H165" s="260"/>
      <c r="Y165" s="261"/>
      <c r="AJ165" s="53"/>
    </row>
    <row r="166" ht="14.25" customHeight="1">
      <c r="E166" s="260"/>
      <c r="G166" s="260"/>
      <c r="H166" s="260"/>
      <c r="Y166" s="261"/>
      <c r="AJ166" s="53"/>
    </row>
    <row r="167" ht="14.25" customHeight="1">
      <c r="E167" s="260"/>
      <c r="G167" s="260"/>
      <c r="H167" s="260"/>
      <c r="Y167" s="261"/>
      <c r="AJ167" s="53"/>
    </row>
    <row r="168" ht="14.25" customHeight="1">
      <c r="E168" s="260"/>
      <c r="G168" s="260"/>
      <c r="H168" s="260"/>
      <c r="Y168" s="261"/>
      <c r="AJ168" s="53"/>
    </row>
    <row r="169" ht="14.25" customHeight="1">
      <c r="E169" s="260"/>
      <c r="G169" s="260"/>
      <c r="H169" s="260"/>
      <c r="Y169" s="261"/>
      <c r="AJ169" s="53"/>
    </row>
    <row r="170" ht="14.25" customHeight="1">
      <c r="E170" s="260"/>
      <c r="G170" s="260"/>
      <c r="H170" s="260"/>
      <c r="Y170" s="261"/>
      <c r="AJ170" s="53"/>
    </row>
    <row r="171" ht="14.25" customHeight="1">
      <c r="E171" s="260"/>
      <c r="G171" s="260"/>
      <c r="H171" s="260"/>
      <c r="Y171" s="261"/>
      <c r="AJ171" s="53"/>
    </row>
    <row r="172" ht="14.25" customHeight="1">
      <c r="E172" s="260"/>
      <c r="G172" s="260"/>
      <c r="H172" s="260"/>
      <c r="Y172" s="261"/>
      <c r="AJ172" s="53"/>
    </row>
    <row r="173" ht="14.25" customHeight="1">
      <c r="E173" s="260"/>
      <c r="G173" s="260"/>
      <c r="H173" s="260"/>
      <c r="Y173" s="261"/>
      <c r="AJ173" s="53"/>
    </row>
    <row r="174" ht="14.25" customHeight="1">
      <c r="E174" s="260"/>
      <c r="G174" s="260"/>
      <c r="H174" s="260"/>
      <c r="Y174" s="261"/>
      <c r="AJ174" s="53"/>
    </row>
    <row r="175" ht="14.25" customHeight="1">
      <c r="E175" s="260"/>
      <c r="G175" s="260"/>
      <c r="H175" s="260"/>
      <c r="Y175" s="261"/>
      <c r="AJ175" s="53"/>
    </row>
    <row r="176" ht="14.25" customHeight="1">
      <c r="E176" s="260"/>
      <c r="G176" s="260"/>
      <c r="H176" s="260"/>
      <c r="Y176" s="261"/>
      <c r="AJ176" s="53"/>
    </row>
    <row r="177" ht="14.25" customHeight="1">
      <c r="E177" s="260"/>
      <c r="G177" s="260"/>
      <c r="H177" s="260"/>
      <c r="Y177" s="261"/>
      <c r="AJ177" s="53"/>
    </row>
    <row r="178" ht="14.25" customHeight="1">
      <c r="E178" s="260"/>
      <c r="G178" s="260"/>
      <c r="H178" s="260"/>
      <c r="Y178" s="261"/>
      <c r="AJ178" s="53"/>
    </row>
    <row r="179" ht="14.25" customHeight="1">
      <c r="E179" s="260"/>
      <c r="G179" s="260"/>
      <c r="H179" s="260"/>
      <c r="Y179" s="261"/>
      <c r="AJ179" s="53"/>
    </row>
    <row r="180" ht="14.25" customHeight="1">
      <c r="E180" s="260"/>
      <c r="G180" s="260"/>
      <c r="H180" s="260"/>
      <c r="Y180" s="261"/>
      <c r="AJ180" s="53"/>
    </row>
    <row r="181" ht="14.25" customHeight="1">
      <c r="E181" s="260"/>
      <c r="G181" s="260"/>
      <c r="H181" s="260"/>
      <c r="Y181" s="261"/>
      <c r="AJ181" s="53"/>
    </row>
    <row r="182" ht="14.25" customHeight="1">
      <c r="E182" s="260"/>
      <c r="G182" s="260"/>
      <c r="H182" s="260"/>
      <c r="Y182" s="261"/>
      <c r="AJ182" s="53"/>
    </row>
    <row r="183" ht="14.25" customHeight="1">
      <c r="E183" s="260"/>
      <c r="G183" s="260"/>
      <c r="H183" s="260"/>
      <c r="Y183" s="261"/>
      <c r="AJ183" s="53"/>
    </row>
    <row r="184" ht="14.25" customHeight="1">
      <c r="E184" s="260"/>
      <c r="G184" s="260"/>
      <c r="H184" s="260"/>
      <c r="Y184" s="261"/>
      <c r="AJ184" s="53"/>
    </row>
    <row r="185" ht="14.25" customHeight="1">
      <c r="E185" s="260"/>
      <c r="G185" s="260"/>
      <c r="H185" s="260"/>
      <c r="Y185" s="261"/>
      <c r="AJ185" s="53"/>
    </row>
    <row r="186" ht="14.25" customHeight="1">
      <c r="E186" s="260"/>
      <c r="G186" s="260"/>
      <c r="H186" s="260"/>
      <c r="Y186" s="261"/>
      <c r="AJ186" s="53"/>
    </row>
    <row r="187" ht="14.25" customHeight="1">
      <c r="E187" s="260"/>
      <c r="G187" s="260"/>
      <c r="H187" s="260"/>
      <c r="Y187" s="261"/>
      <c r="AJ187" s="53"/>
    </row>
    <row r="188" ht="14.25" customHeight="1">
      <c r="E188" s="260"/>
      <c r="G188" s="260"/>
      <c r="H188" s="260"/>
      <c r="Y188" s="261"/>
      <c r="AJ188" s="53"/>
    </row>
    <row r="189" ht="14.25" customHeight="1">
      <c r="E189" s="260"/>
      <c r="G189" s="260"/>
      <c r="H189" s="260"/>
      <c r="Y189" s="261"/>
      <c r="AJ189" s="53"/>
    </row>
    <row r="190" ht="14.25" customHeight="1">
      <c r="E190" s="260"/>
      <c r="G190" s="260"/>
      <c r="H190" s="260"/>
      <c r="Y190" s="261"/>
      <c r="AJ190" s="53"/>
    </row>
    <row r="191" ht="14.25" customHeight="1">
      <c r="E191" s="260"/>
      <c r="G191" s="260"/>
      <c r="H191" s="260"/>
      <c r="Y191" s="261"/>
      <c r="AJ191" s="53"/>
    </row>
    <row r="192" ht="14.25" customHeight="1">
      <c r="E192" s="260"/>
      <c r="G192" s="260"/>
      <c r="H192" s="260"/>
      <c r="Y192" s="261"/>
      <c r="AJ192" s="53"/>
    </row>
    <row r="193" ht="14.25" customHeight="1">
      <c r="E193" s="260"/>
      <c r="G193" s="260"/>
      <c r="H193" s="260"/>
      <c r="Y193" s="261"/>
      <c r="AJ193" s="53"/>
    </row>
    <row r="194" ht="14.25" customHeight="1">
      <c r="E194" s="260"/>
      <c r="G194" s="260"/>
      <c r="H194" s="260"/>
      <c r="Y194" s="261"/>
      <c r="AJ194" s="53"/>
    </row>
    <row r="195" ht="14.25" customHeight="1">
      <c r="E195" s="260"/>
      <c r="G195" s="260"/>
      <c r="H195" s="260"/>
      <c r="Y195" s="261"/>
      <c r="AJ195" s="53"/>
    </row>
    <row r="196" ht="14.25" customHeight="1">
      <c r="E196" s="260"/>
      <c r="G196" s="260"/>
      <c r="H196" s="260"/>
      <c r="Y196" s="261"/>
      <c r="AJ196" s="53"/>
    </row>
    <row r="197" ht="14.25" customHeight="1">
      <c r="E197" s="260"/>
      <c r="G197" s="260"/>
      <c r="H197" s="260"/>
      <c r="Y197" s="261"/>
      <c r="AJ197" s="53"/>
    </row>
    <row r="198" ht="14.25" customHeight="1">
      <c r="E198" s="260"/>
      <c r="G198" s="260"/>
      <c r="H198" s="260"/>
      <c r="Y198" s="261"/>
      <c r="AJ198" s="53"/>
    </row>
    <row r="199" ht="14.25" customHeight="1">
      <c r="E199" s="260"/>
      <c r="G199" s="260"/>
      <c r="H199" s="260"/>
      <c r="Y199" s="261"/>
      <c r="AJ199" s="53"/>
    </row>
    <row r="200" ht="14.25" customHeight="1">
      <c r="E200" s="260"/>
      <c r="G200" s="260"/>
      <c r="H200" s="260"/>
      <c r="Y200" s="261"/>
      <c r="AJ200" s="53"/>
    </row>
    <row r="201" ht="14.25" customHeight="1">
      <c r="E201" s="260"/>
      <c r="G201" s="260"/>
      <c r="H201" s="260"/>
      <c r="Y201" s="261"/>
      <c r="AJ201" s="53"/>
    </row>
    <row r="202" ht="14.25" customHeight="1">
      <c r="E202" s="260"/>
      <c r="G202" s="260"/>
      <c r="H202" s="260"/>
      <c r="Y202" s="261"/>
      <c r="AJ202" s="53"/>
    </row>
    <row r="203" ht="14.25" customHeight="1">
      <c r="E203" s="260"/>
      <c r="G203" s="260"/>
      <c r="H203" s="260"/>
      <c r="Y203" s="261"/>
      <c r="AJ203" s="53"/>
    </row>
    <row r="204" ht="14.25" customHeight="1">
      <c r="E204" s="260"/>
      <c r="G204" s="260"/>
      <c r="H204" s="260"/>
      <c r="Y204" s="261"/>
      <c r="AJ204" s="53"/>
    </row>
    <row r="205" ht="14.25" customHeight="1">
      <c r="E205" s="260"/>
      <c r="G205" s="260"/>
      <c r="H205" s="260"/>
      <c r="Y205" s="261"/>
      <c r="AJ205" s="53"/>
    </row>
    <row r="206" ht="14.25" customHeight="1">
      <c r="E206" s="260"/>
      <c r="G206" s="260"/>
      <c r="H206" s="260"/>
      <c r="Y206" s="261"/>
      <c r="AJ206" s="53"/>
    </row>
    <row r="207" ht="14.25" customHeight="1">
      <c r="E207" s="260"/>
      <c r="G207" s="260"/>
      <c r="H207" s="260"/>
      <c r="Y207" s="261"/>
      <c r="AJ207" s="53"/>
    </row>
    <row r="208" ht="14.25" customHeight="1">
      <c r="E208" s="260"/>
      <c r="G208" s="260"/>
      <c r="H208" s="260"/>
      <c r="Y208" s="261"/>
      <c r="AJ208" s="53"/>
    </row>
    <row r="209" ht="14.25" customHeight="1">
      <c r="E209" s="260"/>
      <c r="G209" s="260"/>
      <c r="H209" s="260"/>
      <c r="Y209" s="261"/>
      <c r="AJ209" s="53"/>
    </row>
    <row r="210" ht="14.25" customHeight="1">
      <c r="E210" s="260"/>
      <c r="G210" s="260"/>
      <c r="H210" s="260"/>
      <c r="Y210" s="261"/>
      <c r="AJ210" s="53"/>
    </row>
    <row r="211" ht="14.25" customHeight="1">
      <c r="E211" s="260"/>
      <c r="G211" s="260"/>
      <c r="H211" s="260"/>
      <c r="Y211" s="261"/>
      <c r="AJ211" s="53"/>
    </row>
    <row r="212" ht="14.25" customHeight="1">
      <c r="E212" s="260"/>
      <c r="G212" s="260"/>
      <c r="H212" s="260"/>
      <c r="Y212" s="261"/>
      <c r="AJ212" s="53"/>
    </row>
    <row r="213" ht="14.25" customHeight="1">
      <c r="E213" s="260"/>
      <c r="G213" s="260"/>
      <c r="H213" s="260"/>
      <c r="Y213" s="261"/>
      <c r="AJ213" s="53"/>
    </row>
    <row r="214" ht="14.25" customHeight="1">
      <c r="E214" s="260"/>
      <c r="G214" s="260"/>
      <c r="H214" s="260"/>
      <c r="Y214" s="261"/>
      <c r="AJ214" s="53"/>
    </row>
    <row r="215" ht="14.25" customHeight="1">
      <c r="E215" s="260"/>
      <c r="G215" s="260"/>
      <c r="H215" s="260"/>
      <c r="Y215" s="261"/>
      <c r="AJ215" s="53"/>
    </row>
    <row r="216" ht="14.25" customHeight="1">
      <c r="E216" s="260"/>
      <c r="G216" s="260"/>
      <c r="H216" s="260"/>
      <c r="Y216" s="261"/>
      <c r="AJ216" s="53"/>
    </row>
    <row r="217" ht="14.25" customHeight="1">
      <c r="E217" s="260"/>
      <c r="G217" s="260"/>
      <c r="H217" s="260"/>
      <c r="Y217" s="261"/>
      <c r="AJ217" s="53"/>
    </row>
    <row r="218" ht="14.25" customHeight="1">
      <c r="E218" s="260"/>
      <c r="G218" s="260"/>
      <c r="H218" s="260"/>
      <c r="Y218" s="261"/>
      <c r="AJ218" s="53"/>
    </row>
    <row r="219" ht="14.25" customHeight="1">
      <c r="E219" s="260"/>
      <c r="G219" s="260"/>
      <c r="H219" s="260"/>
      <c r="Y219" s="261"/>
      <c r="AJ219" s="53"/>
    </row>
    <row r="220" ht="14.25" customHeight="1">
      <c r="E220" s="260"/>
      <c r="G220" s="260"/>
      <c r="H220" s="260"/>
      <c r="Y220" s="261"/>
      <c r="AJ220" s="53"/>
    </row>
    <row r="221" ht="14.25" customHeight="1">
      <c r="E221" s="260"/>
      <c r="G221" s="260"/>
      <c r="H221" s="260"/>
      <c r="Y221" s="261"/>
      <c r="AJ221" s="53"/>
    </row>
    <row r="222" ht="14.25" customHeight="1">
      <c r="E222" s="260"/>
      <c r="G222" s="260"/>
      <c r="H222" s="260"/>
      <c r="Y222" s="261"/>
      <c r="AJ222" s="53"/>
    </row>
    <row r="223" ht="14.25" customHeight="1">
      <c r="E223" s="260"/>
      <c r="G223" s="260"/>
      <c r="H223" s="260"/>
      <c r="Y223" s="261"/>
      <c r="AJ223" s="53"/>
    </row>
    <row r="224" ht="14.25" customHeight="1">
      <c r="E224" s="260"/>
      <c r="G224" s="260"/>
      <c r="H224" s="260"/>
      <c r="Y224" s="261"/>
      <c r="AJ224" s="53"/>
    </row>
    <row r="225" ht="14.25" customHeight="1">
      <c r="E225" s="260"/>
      <c r="G225" s="260"/>
      <c r="H225" s="260"/>
      <c r="Y225" s="261"/>
      <c r="AJ225" s="53"/>
    </row>
    <row r="226" ht="14.25" customHeight="1">
      <c r="E226" s="260"/>
      <c r="G226" s="260"/>
      <c r="H226" s="260"/>
      <c r="Y226" s="261"/>
      <c r="AJ226" s="53"/>
    </row>
    <row r="227" ht="14.25" customHeight="1">
      <c r="E227" s="260"/>
      <c r="G227" s="260"/>
      <c r="H227" s="260"/>
      <c r="Y227" s="261"/>
      <c r="AJ227" s="53"/>
    </row>
    <row r="228" ht="14.25" customHeight="1">
      <c r="E228" s="260"/>
      <c r="G228" s="260"/>
      <c r="H228" s="260"/>
      <c r="Y228" s="261"/>
      <c r="AJ228" s="53"/>
    </row>
    <row r="229" ht="14.25" customHeight="1">
      <c r="E229" s="260"/>
      <c r="G229" s="260"/>
      <c r="H229" s="260"/>
      <c r="Y229" s="261"/>
      <c r="AJ229" s="53"/>
    </row>
    <row r="230" ht="14.25" customHeight="1">
      <c r="E230" s="260"/>
      <c r="G230" s="260"/>
      <c r="H230" s="260"/>
      <c r="Y230" s="261"/>
      <c r="AJ230" s="53"/>
    </row>
    <row r="231" ht="14.25" customHeight="1">
      <c r="E231" s="260"/>
      <c r="G231" s="260"/>
      <c r="H231" s="260"/>
      <c r="Y231" s="261"/>
      <c r="AJ231" s="53"/>
    </row>
    <row r="232" ht="14.25" customHeight="1">
      <c r="E232" s="260"/>
      <c r="G232" s="260"/>
      <c r="H232" s="260"/>
      <c r="Y232" s="261"/>
      <c r="AJ232" s="53"/>
    </row>
    <row r="233" ht="14.25" customHeight="1">
      <c r="E233" s="260"/>
      <c r="G233" s="260"/>
      <c r="H233" s="260"/>
      <c r="Y233" s="261"/>
      <c r="AJ233" s="53"/>
    </row>
    <row r="234" ht="14.25" customHeight="1">
      <c r="E234" s="260"/>
      <c r="G234" s="260"/>
      <c r="H234" s="260"/>
      <c r="Y234" s="261"/>
      <c r="AJ234" s="53"/>
    </row>
    <row r="235" ht="14.25" customHeight="1">
      <c r="E235" s="260"/>
      <c r="G235" s="260"/>
      <c r="H235" s="260"/>
      <c r="Y235" s="261"/>
      <c r="AJ235" s="53"/>
    </row>
    <row r="236" ht="14.25" customHeight="1">
      <c r="E236" s="260"/>
      <c r="G236" s="260"/>
      <c r="H236" s="260"/>
      <c r="Y236" s="261"/>
      <c r="AJ236" s="53"/>
    </row>
    <row r="237" ht="14.25" customHeight="1">
      <c r="E237" s="260"/>
      <c r="G237" s="260"/>
      <c r="H237" s="260"/>
      <c r="Y237" s="261"/>
      <c r="AJ237" s="53"/>
    </row>
    <row r="238" ht="14.25" customHeight="1">
      <c r="E238" s="260"/>
      <c r="G238" s="260"/>
      <c r="H238" s="260"/>
      <c r="Y238" s="261"/>
      <c r="AJ238" s="53"/>
    </row>
    <row r="239" ht="14.25" customHeight="1">
      <c r="E239" s="260"/>
      <c r="G239" s="260"/>
      <c r="H239" s="260"/>
      <c r="Y239" s="261"/>
      <c r="AJ239" s="53"/>
    </row>
    <row r="240" ht="14.25" customHeight="1">
      <c r="E240" s="260"/>
      <c r="G240" s="260"/>
      <c r="H240" s="260"/>
      <c r="Y240" s="261"/>
      <c r="AJ240" s="53"/>
    </row>
    <row r="241" ht="14.25" customHeight="1">
      <c r="E241" s="260"/>
      <c r="G241" s="260"/>
      <c r="H241" s="260"/>
      <c r="Y241" s="261"/>
      <c r="AJ241" s="53"/>
    </row>
    <row r="242" ht="14.25" customHeight="1">
      <c r="E242" s="260"/>
      <c r="G242" s="260"/>
      <c r="H242" s="260"/>
      <c r="Y242" s="261"/>
      <c r="AJ242" s="53"/>
    </row>
    <row r="243" ht="14.25" customHeight="1">
      <c r="E243" s="260"/>
      <c r="G243" s="260"/>
      <c r="H243" s="260"/>
      <c r="Y243" s="261"/>
      <c r="AJ243" s="53"/>
    </row>
    <row r="244" ht="14.25" customHeight="1">
      <c r="E244" s="260"/>
      <c r="G244" s="260"/>
      <c r="H244" s="260"/>
      <c r="Y244" s="261"/>
      <c r="AJ244" s="53"/>
    </row>
    <row r="245" ht="14.25" customHeight="1">
      <c r="E245" s="260"/>
      <c r="G245" s="260"/>
      <c r="H245" s="260"/>
      <c r="Y245" s="261"/>
      <c r="AJ245" s="53"/>
    </row>
    <row r="246" ht="14.25" customHeight="1">
      <c r="E246" s="260"/>
      <c r="G246" s="260"/>
      <c r="H246" s="260"/>
      <c r="Y246" s="261"/>
      <c r="AJ246" s="53"/>
    </row>
    <row r="247" ht="14.25" customHeight="1">
      <c r="E247" s="260"/>
      <c r="G247" s="260"/>
      <c r="H247" s="260"/>
      <c r="Y247" s="261"/>
      <c r="AJ247" s="53"/>
    </row>
    <row r="248" ht="14.25" customHeight="1">
      <c r="E248" s="260"/>
      <c r="G248" s="260"/>
      <c r="H248" s="260"/>
      <c r="Y248" s="261"/>
      <c r="AJ248" s="53"/>
    </row>
    <row r="249" ht="14.25" customHeight="1">
      <c r="E249" s="260"/>
      <c r="G249" s="260"/>
      <c r="H249" s="260"/>
      <c r="Y249" s="261"/>
      <c r="AJ249" s="53"/>
    </row>
    <row r="250" ht="14.25" customHeight="1">
      <c r="E250" s="260"/>
      <c r="G250" s="260"/>
      <c r="H250" s="260"/>
      <c r="Y250" s="261"/>
      <c r="AJ250" s="53"/>
    </row>
    <row r="251" ht="14.25" customHeight="1">
      <c r="E251" s="260"/>
      <c r="G251" s="260"/>
      <c r="H251" s="260"/>
      <c r="Y251" s="261"/>
      <c r="AJ251" s="53"/>
    </row>
    <row r="252" ht="14.25" customHeight="1">
      <c r="E252" s="260"/>
      <c r="G252" s="260"/>
      <c r="H252" s="260"/>
      <c r="Y252" s="261"/>
      <c r="AJ252" s="53"/>
    </row>
    <row r="253" ht="14.25" customHeight="1">
      <c r="E253" s="260"/>
      <c r="G253" s="260"/>
      <c r="H253" s="260"/>
      <c r="Y253" s="261"/>
      <c r="AJ253" s="53"/>
    </row>
    <row r="254" ht="14.25" customHeight="1">
      <c r="E254" s="260"/>
      <c r="G254" s="260"/>
      <c r="H254" s="260"/>
      <c r="Y254" s="261"/>
      <c r="AJ254" s="53"/>
    </row>
    <row r="255" ht="14.25" customHeight="1">
      <c r="E255" s="260"/>
      <c r="G255" s="260"/>
      <c r="H255" s="260"/>
      <c r="Y255" s="261"/>
      <c r="AJ255" s="53"/>
    </row>
    <row r="256" ht="14.25" customHeight="1">
      <c r="E256" s="260"/>
      <c r="G256" s="260"/>
      <c r="H256" s="260"/>
      <c r="Y256" s="261"/>
      <c r="AJ256" s="53"/>
    </row>
    <row r="257" ht="14.25" customHeight="1">
      <c r="E257" s="260"/>
      <c r="G257" s="260"/>
      <c r="H257" s="260"/>
      <c r="Y257" s="261"/>
      <c r="AJ257" s="53"/>
    </row>
    <row r="258" ht="14.25" customHeight="1">
      <c r="E258" s="260"/>
      <c r="G258" s="260"/>
      <c r="H258" s="260"/>
      <c r="Y258" s="261"/>
      <c r="AJ258" s="53"/>
    </row>
    <row r="259" ht="14.25" customHeight="1">
      <c r="E259" s="260"/>
      <c r="G259" s="260"/>
      <c r="H259" s="260"/>
      <c r="Y259" s="261"/>
      <c r="AJ259" s="53"/>
    </row>
    <row r="260" ht="14.25" customHeight="1">
      <c r="E260" s="260"/>
      <c r="G260" s="260"/>
      <c r="H260" s="260"/>
      <c r="Y260" s="261"/>
      <c r="AJ260" s="53"/>
    </row>
    <row r="261" ht="14.25" customHeight="1">
      <c r="E261" s="260"/>
      <c r="G261" s="260"/>
      <c r="H261" s="260"/>
      <c r="Y261" s="261"/>
      <c r="AJ261" s="53"/>
    </row>
    <row r="262" ht="14.25" customHeight="1">
      <c r="E262" s="260"/>
      <c r="G262" s="260"/>
      <c r="H262" s="260"/>
      <c r="Y262" s="261"/>
      <c r="AJ262" s="53"/>
    </row>
    <row r="263" ht="14.25" customHeight="1">
      <c r="E263" s="260"/>
      <c r="G263" s="260"/>
      <c r="H263" s="260"/>
      <c r="Y263" s="261"/>
      <c r="AJ263" s="53"/>
    </row>
    <row r="264" ht="14.25" customHeight="1">
      <c r="E264" s="260"/>
      <c r="G264" s="260"/>
      <c r="H264" s="260"/>
      <c r="Y264" s="261"/>
      <c r="AJ264" s="53"/>
    </row>
    <row r="265" ht="14.25" customHeight="1">
      <c r="E265" s="260"/>
      <c r="G265" s="260"/>
      <c r="H265" s="260"/>
      <c r="Y265" s="261"/>
      <c r="AJ265" s="53"/>
    </row>
    <row r="266" ht="14.25" customHeight="1">
      <c r="E266" s="260"/>
      <c r="G266" s="260"/>
      <c r="H266" s="260"/>
      <c r="Y266" s="261"/>
      <c r="AJ266" s="53"/>
    </row>
    <row r="267" ht="14.25" customHeight="1">
      <c r="E267" s="260"/>
      <c r="G267" s="260"/>
      <c r="H267" s="260"/>
      <c r="Y267" s="261"/>
      <c r="AJ267" s="53"/>
    </row>
    <row r="268" ht="14.25" customHeight="1">
      <c r="E268" s="260"/>
      <c r="G268" s="260"/>
      <c r="H268" s="260"/>
      <c r="Y268" s="261"/>
      <c r="AJ268" s="53"/>
    </row>
    <row r="269" ht="14.25" customHeight="1">
      <c r="E269" s="260"/>
      <c r="G269" s="260"/>
      <c r="H269" s="260"/>
      <c r="Y269" s="261"/>
      <c r="AJ269" s="53"/>
    </row>
    <row r="270" ht="14.25" customHeight="1">
      <c r="E270" s="260"/>
      <c r="G270" s="260"/>
      <c r="H270" s="260"/>
      <c r="Y270" s="261"/>
      <c r="AJ270" s="53"/>
    </row>
    <row r="271" ht="14.25" customHeight="1">
      <c r="E271" s="260"/>
      <c r="G271" s="260"/>
      <c r="H271" s="260"/>
      <c r="Y271" s="261"/>
      <c r="AJ271" s="53"/>
    </row>
    <row r="272" ht="14.25" customHeight="1">
      <c r="E272" s="260"/>
      <c r="G272" s="260"/>
      <c r="H272" s="260"/>
      <c r="Y272" s="261"/>
      <c r="AJ272" s="53"/>
    </row>
    <row r="273" ht="14.25" customHeight="1">
      <c r="E273" s="260"/>
      <c r="G273" s="260"/>
      <c r="H273" s="260"/>
      <c r="Y273" s="261"/>
      <c r="AJ273" s="53"/>
    </row>
    <row r="274" ht="14.25" customHeight="1">
      <c r="E274" s="260"/>
      <c r="G274" s="260"/>
      <c r="H274" s="260"/>
      <c r="Y274" s="261"/>
      <c r="AJ274" s="53"/>
    </row>
    <row r="275" ht="14.25" customHeight="1">
      <c r="E275" s="260"/>
      <c r="G275" s="260"/>
      <c r="H275" s="260"/>
      <c r="Y275" s="261"/>
      <c r="AJ275" s="53"/>
    </row>
    <row r="276" ht="14.25" customHeight="1">
      <c r="E276" s="260"/>
      <c r="G276" s="260"/>
      <c r="H276" s="260"/>
      <c r="Y276" s="261"/>
      <c r="AJ276" s="53"/>
    </row>
    <row r="277" ht="14.25" customHeight="1">
      <c r="E277" s="260"/>
      <c r="G277" s="260"/>
      <c r="H277" s="260"/>
      <c r="Y277" s="261"/>
      <c r="AJ277" s="53"/>
    </row>
    <row r="278" ht="14.25" customHeight="1">
      <c r="E278" s="260"/>
      <c r="G278" s="260"/>
      <c r="H278" s="260"/>
      <c r="Y278" s="261"/>
      <c r="AJ278" s="53"/>
    </row>
    <row r="279" ht="14.25" customHeight="1">
      <c r="E279" s="260"/>
      <c r="G279" s="260"/>
      <c r="H279" s="260"/>
      <c r="Y279" s="261"/>
      <c r="AJ279" s="53"/>
    </row>
    <row r="280" ht="14.25" customHeight="1">
      <c r="E280" s="260"/>
      <c r="G280" s="260"/>
      <c r="H280" s="260"/>
      <c r="Y280" s="261"/>
      <c r="AJ280" s="53"/>
    </row>
    <row r="281" ht="14.25" customHeight="1">
      <c r="E281" s="260"/>
      <c r="G281" s="260"/>
      <c r="H281" s="260"/>
      <c r="Y281" s="261"/>
      <c r="AJ281" s="53"/>
    </row>
    <row r="282" ht="14.25" customHeight="1">
      <c r="E282" s="260"/>
      <c r="G282" s="260"/>
      <c r="H282" s="260"/>
      <c r="Y282" s="261"/>
      <c r="AJ282" s="53"/>
    </row>
    <row r="283" ht="14.25" customHeight="1">
      <c r="E283" s="260"/>
      <c r="G283" s="260"/>
      <c r="H283" s="260"/>
      <c r="Y283" s="261"/>
      <c r="AJ283" s="53"/>
    </row>
    <row r="284" ht="14.25" customHeight="1">
      <c r="E284" s="260"/>
      <c r="G284" s="260"/>
      <c r="H284" s="260"/>
      <c r="Y284" s="261"/>
      <c r="AJ284" s="53"/>
    </row>
    <row r="285" ht="14.25" customHeight="1">
      <c r="E285" s="260"/>
      <c r="G285" s="260"/>
      <c r="H285" s="260"/>
      <c r="Y285" s="261"/>
      <c r="AJ285" s="53"/>
    </row>
    <row r="286" ht="14.25" customHeight="1">
      <c r="E286" s="260"/>
      <c r="G286" s="260"/>
      <c r="H286" s="260"/>
      <c r="Y286" s="261"/>
      <c r="AJ286" s="53"/>
    </row>
    <row r="287" ht="14.25" customHeight="1">
      <c r="E287" s="260"/>
      <c r="G287" s="260"/>
      <c r="H287" s="260"/>
      <c r="Y287" s="261"/>
      <c r="AJ287" s="53"/>
    </row>
    <row r="288" ht="14.25" customHeight="1">
      <c r="E288" s="260"/>
      <c r="G288" s="260"/>
      <c r="H288" s="260"/>
      <c r="Y288" s="261"/>
      <c r="AJ288" s="53"/>
    </row>
    <row r="289" ht="14.25" customHeight="1">
      <c r="E289" s="260"/>
      <c r="G289" s="260"/>
      <c r="H289" s="260"/>
      <c r="Y289" s="261"/>
      <c r="AJ289" s="53"/>
    </row>
    <row r="290" ht="14.25" customHeight="1">
      <c r="E290" s="260"/>
      <c r="G290" s="260"/>
      <c r="H290" s="260"/>
      <c r="Y290" s="261"/>
      <c r="AJ290" s="53"/>
    </row>
    <row r="291" ht="14.25" customHeight="1">
      <c r="E291" s="260"/>
      <c r="G291" s="260"/>
      <c r="H291" s="260"/>
      <c r="Y291" s="261"/>
      <c r="AJ291" s="53"/>
    </row>
    <row r="292" ht="14.25" customHeight="1">
      <c r="E292" s="260"/>
      <c r="G292" s="260"/>
      <c r="H292" s="260"/>
      <c r="Y292" s="261"/>
      <c r="AJ292" s="53"/>
    </row>
    <row r="293" ht="14.25" customHeight="1">
      <c r="E293" s="260"/>
      <c r="G293" s="260"/>
      <c r="H293" s="260"/>
      <c r="Y293" s="261"/>
      <c r="AJ293" s="53"/>
    </row>
    <row r="294" ht="14.25" customHeight="1">
      <c r="E294" s="260"/>
      <c r="G294" s="260"/>
      <c r="H294" s="260"/>
      <c r="Y294" s="261"/>
      <c r="AJ294" s="53"/>
    </row>
    <row r="295" ht="14.25" customHeight="1">
      <c r="E295" s="260"/>
      <c r="G295" s="260"/>
      <c r="H295" s="260"/>
      <c r="Y295" s="261"/>
      <c r="AJ295" s="53"/>
    </row>
    <row r="296" ht="14.25" customHeight="1">
      <c r="E296" s="260"/>
      <c r="G296" s="260"/>
      <c r="H296" s="260"/>
      <c r="Y296" s="261"/>
      <c r="AJ296" s="53"/>
    </row>
    <row r="297" ht="14.25" customHeight="1">
      <c r="E297" s="260"/>
      <c r="G297" s="260"/>
      <c r="H297" s="260"/>
      <c r="Y297" s="261"/>
      <c r="AJ297" s="53"/>
    </row>
    <row r="298" ht="14.25" customHeight="1">
      <c r="E298" s="260"/>
      <c r="G298" s="260"/>
      <c r="H298" s="260"/>
      <c r="Y298" s="261"/>
      <c r="AJ298" s="53"/>
    </row>
    <row r="299" ht="14.25" customHeight="1">
      <c r="E299" s="260"/>
      <c r="G299" s="260"/>
      <c r="H299" s="260"/>
      <c r="Y299" s="261"/>
      <c r="AJ299" s="53"/>
    </row>
    <row r="300" ht="14.25" customHeight="1">
      <c r="E300" s="260"/>
      <c r="G300" s="260"/>
      <c r="H300" s="260"/>
      <c r="Y300" s="261"/>
      <c r="AJ300" s="53"/>
    </row>
    <row r="301" ht="14.25" customHeight="1">
      <c r="E301" s="260"/>
      <c r="G301" s="260"/>
      <c r="H301" s="260"/>
      <c r="Y301" s="261"/>
      <c r="AJ301" s="53"/>
    </row>
    <row r="302" ht="14.25" customHeight="1">
      <c r="E302" s="260"/>
      <c r="G302" s="260"/>
      <c r="H302" s="260"/>
      <c r="Y302" s="261"/>
      <c r="AJ302" s="53"/>
    </row>
    <row r="303" ht="14.25" customHeight="1">
      <c r="E303" s="260"/>
      <c r="G303" s="260"/>
      <c r="H303" s="260"/>
      <c r="Y303" s="261"/>
      <c r="AJ303" s="53"/>
    </row>
    <row r="304" ht="14.25" customHeight="1">
      <c r="E304" s="260"/>
      <c r="G304" s="260"/>
      <c r="H304" s="260"/>
      <c r="Y304" s="261"/>
      <c r="AJ304" s="53"/>
    </row>
    <row r="305" ht="14.25" customHeight="1">
      <c r="E305" s="260"/>
      <c r="G305" s="260"/>
      <c r="H305" s="260"/>
      <c r="Y305" s="261"/>
      <c r="AJ305" s="53"/>
    </row>
    <row r="306" ht="14.25" customHeight="1">
      <c r="E306" s="260"/>
      <c r="G306" s="260"/>
      <c r="H306" s="260"/>
      <c r="Y306" s="261"/>
      <c r="AJ306" s="53"/>
    </row>
    <row r="307" ht="14.25" customHeight="1">
      <c r="E307" s="260"/>
      <c r="G307" s="260"/>
      <c r="H307" s="260"/>
      <c r="Y307" s="261"/>
      <c r="AJ307" s="53"/>
    </row>
    <row r="308" ht="14.25" customHeight="1">
      <c r="E308" s="260"/>
      <c r="G308" s="260"/>
      <c r="H308" s="260"/>
      <c r="Y308" s="261"/>
      <c r="AJ308" s="53"/>
    </row>
    <row r="309" ht="14.25" customHeight="1">
      <c r="E309" s="260"/>
      <c r="G309" s="260"/>
      <c r="H309" s="260"/>
      <c r="Y309" s="261"/>
      <c r="AJ309" s="53"/>
    </row>
    <row r="310" ht="14.25" customHeight="1">
      <c r="E310" s="260"/>
      <c r="G310" s="260"/>
      <c r="H310" s="260"/>
      <c r="Y310" s="261"/>
      <c r="AJ310" s="53"/>
    </row>
    <row r="311" ht="14.25" customHeight="1">
      <c r="E311" s="260"/>
      <c r="G311" s="260"/>
      <c r="H311" s="260"/>
      <c r="Y311" s="261"/>
      <c r="AJ311" s="53"/>
    </row>
    <row r="312" ht="14.25" customHeight="1">
      <c r="E312" s="260"/>
      <c r="G312" s="260"/>
      <c r="H312" s="260"/>
      <c r="Y312" s="261"/>
      <c r="AJ312" s="53"/>
    </row>
    <row r="313" ht="14.25" customHeight="1">
      <c r="E313" s="260"/>
      <c r="G313" s="260"/>
      <c r="H313" s="260"/>
      <c r="Y313" s="261"/>
      <c r="AJ313" s="53"/>
    </row>
    <row r="314" ht="14.25" customHeight="1">
      <c r="E314" s="260"/>
      <c r="G314" s="260"/>
      <c r="H314" s="260"/>
      <c r="Y314" s="261"/>
      <c r="AJ314" s="53"/>
    </row>
    <row r="315" ht="14.25" customHeight="1">
      <c r="E315" s="260"/>
      <c r="G315" s="260"/>
      <c r="H315" s="260"/>
      <c r="Y315" s="261"/>
      <c r="AJ315" s="53"/>
    </row>
    <row r="316" ht="14.25" customHeight="1">
      <c r="E316" s="260"/>
      <c r="G316" s="260"/>
      <c r="H316" s="260"/>
      <c r="Y316" s="261"/>
      <c r="AJ316" s="53"/>
    </row>
    <row r="317" ht="14.25" customHeight="1">
      <c r="E317" s="260"/>
      <c r="G317" s="260"/>
      <c r="H317" s="260"/>
      <c r="Y317" s="261"/>
      <c r="AJ317" s="53"/>
    </row>
    <row r="318" ht="14.25" customHeight="1">
      <c r="E318" s="260"/>
      <c r="G318" s="260"/>
      <c r="H318" s="260"/>
      <c r="Y318" s="261"/>
      <c r="AJ318" s="53"/>
    </row>
    <row r="319" ht="14.25" customHeight="1">
      <c r="E319" s="260"/>
      <c r="G319" s="260"/>
      <c r="H319" s="260"/>
      <c r="Y319" s="261"/>
      <c r="AJ319" s="53"/>
    </row>
    <row r="320" ht="14.25" customHeight="1">
      <c r="E320" s="260"/>
      <c r="G320" s="260"/>
      <c r="H320" s="260"/>
      <c r="Y320" s="261"/>
      <c r="AJ320" s="53"/>
    </row>
    <row r="321" ht="14.25" customHeight="1">
      <c r="E321" s="260"/>
      <c r="G321" s="260"/>
      <c r="H321" s="260"/>
      <c r="Y321" s="261"/>
      <c r="AJ321" s="53"/>
    </row>
    <row r="322" ht="14.25" customHeight="1">
      <c r="E322" s="260"/>
      <c r="G322" s="260"/>
      <c r="H322" s="260"/>
      <c r="Y322" s="261"/>
      <c r="AJ322" s="53"/>
    </row>
    <row r="323" ht="14.25" customHeight="1">
      <c r="E323" s="260"/>
      <c r="G323" s="260"/>
      <c r="H323" s="260"/>
      <c r="Y323" s="261"/>
      <c r="AJ323" s="53"/>
    </row>
    <row r="324" ht="14.25" customHeight="1">
      <c r="E324" s="260"/>
      <c r="G324" s="260"/>
      <c r="H324" s="260"/>
      <c r="Y324" s="261"/>
      <c r="AJ324" s="53"/>
    </row>
    <row r="325" ht="14.25" customHeight="1">
      <c r="E325" s="260"/>
      <c r="G325" s="260"/>
      <c r="H325" s="260"/>
      <c r="Y325" s="261"/>
      <c r="AJ325" s="53"/>
    </row>
    <row r="326" ht="14.25" customHeight="1">
      <c r="E326" s="260"/>
      <c r="G326" s="260"/>
      <c r="H326" s="260"/>
      <c r="Y326" s="261"/>
      <c r="AJ326" s="53"/>
    </row>
    <row r="327" ht="14.25" customHeight="1">
      <c r="E327" s="260"/>
      <c r="G327" s="260"/>
      <c r="H327" s="260"/>
      <c r="Y327" s="261"/>
      <c r="AJ327" s="53"/>
    </row>
    <row r="328" ht="14.25" customHeight="1">
      <c r="E328" s="260"/>
      <c r="G328" s="260"/>
      <c r="H328" s="260"/>
      <c r="Y328" s="261"/>
      <c r="AJ328" s="53"/>
    </row>
    <row r="329" ht="14.25" customHeight="1">
      <c r="E329" s="260"/>
      <c r="G329" s="260"/>
      <c r="H329" s="260"/>
      <c r="Y329" s="261"/>
      <c r="AJ329" s="53"/>
    </row>
    <row r="330" ht="14.25" customHeight="1">
      <c r="E330" s="260"/>
      <c r="G330" s="260"/>
      <c r="H330" s="260"/>
      <c r="Y330" s="261"/>
      <c r="AJ330" s="53"/>
    </row>
    <row r="331" ht="14.25" customHeight="1">
      <c r="E331" s="260"/>
      <c r="G331" s="260"/>
      <c r="H331" s="260"/>
      <c r="Y331" s="261"/>
      <c r="AJ331" s="53"/>
    </row>
    <row r="332" ht="14.25" customHeight="1">
      <c r="E332" s="260"/>
      <c r="G332" s="260"/>
      <c r="H332" s="260"/>
      <c r="Y332" s="261"/>
      <c r="AJ332" s="53"/>
    </row>
    <row r="333" ht="14.25" customHeight="1">
      <c r="E333" s="260"/>
      <c r="G333" s="260"/>
      <c r="H333" s="260"/>
      <c r="Y333" s="261"/>
      <c r="AJ333" s="53"/>
    </row>
    <row r="334" ht="14.25" customHeight="1">
      <c r="E334" s="260"/>
      <c r="G334" s="260"/>
      <c r="H334" s="260"/>
      <c r="Y334" s="261"/>
      <c r="AJ334" s="53"/>
    </row>
    <row r="335" ht="14.25" customHeight="1">
      <c r="E335" s="260"/>
      <c r="G335" s="260"/>
      <c r="H335" s="260"/>
      <c r="Y335" s="261"/>
      <c r="AJ335" s="53"/>
    </row>
    <row r="336" ht="14.25" customHeight="1">
      <c r="E336" s="260"/>
      <c r="G336" s="260"/>
      <c r="H336" s="260"/>
      <c r="Y336" s="261"/>
      <c r="AJ336" s="53"/>
    </row>
    <row r="337" ht="14.25" customHeight="1">
      <c r="E337" s="260"/>
      <c r="G337" s="260"/>
      <c r="H337" s="260"/>
      <c r="Y337" s="261"/>
      <c r="AJ337" s="53"/>
    </row>
    <row r="338" ht="14.25" customHeight="1">
      <c r="E338" s="260"/>
      <c r="G338" s="260"/>
      <c r="H338" s="260"/>
      <c r="Y338" s="261"/>
      <c r="AJ338" s="53"/>
    </row>
    <row r="339" ht="14.25" customHeight="1">
      <c r="E339" s="260"/>
      <c r="G339" s="260"/>
      <c r="H339" s="260"/>
      <c r="Y339" s="261"/>
      <c r="AJ339" s="53"/>
    </row>
    <row r="340" ht="14.25" customHeight="1">
      <c r="E340" s="260"/>
      <c r="G340" s="260"/>
      <c r="H340" s="260"/>
      <c r="Y340" s="261"/>
      <c r="AJ340" s="53"/>
    </row>
    <row r="341" ht="14.25" customHeight="1">
      <c r="E341" s="260"/>
      <c r="G341" s="260"/>
      <c r="H341" s="260"/>
      <c r="Y341" s="261"/>
      <c r="AJ341" s="53"/>
    </row>
    <row r="342" ht="14.25" customHeight="1">
      <c r="E342" s="260"/>
      <c r="G342" s="260"/>
      <c r="H342" s="260"/>
      <c r="Y342" s="261"/>
      <c r="AJ342" s="53"/>
    </row>
    <row r="343" ht="14.25" customHeight="1">
      <c r="E343" s="260"/>
      <c r="G343" s="260"/>
      <c r="H343" s="260"/>
      <c r="Y343" s="261"/>
      <c r="AJ343" s="53"/>
    </row>
    <row r="344" ht="14.25" customHeight="1">
      <c r="E344" s="260"/>
      <c r="G344" s="260"/>
      <c r="H344" s="260"/>
      <c r="Y344" s="261"/>
      <c r="AJ344" s="53"/>
    </row>
    <row r="345" ht="14.25" customHeight="1">
      <c r="E345" s="260"/>
      <c r="G345" s="260"/>
      <c r="H345" s="260"/>
      <c r="Y345" s="261"/>
      <c r="AJ345" s="53"/>
    </row>
    <row r="346" ht="14.25" customHeight="1">
      <c r="E346" s="260"/>
      <c r="G346" s="260"/>
      <c r="H346" s="260"/>
      <c r="Y346" s="261"/>
      <c r="AJ346" s="53"/>
    </row>
    <row r="347" ht="14.25" customHeight="1">
      <c r="E347" s="260"/>
      <c r="G347" s="260"/>
      <c r="H347" s="260"/>
      <c r="Y347" s="261"/>
      <c r="AJ347" s="53"/>
    </row>
    <row r="348" ht="14.25" customHeight="1">
      <c r="E348" s="260"/>
      <c r="G348" s="260"/>
      <c r="H348" s="260"/>
      <c r="Y348" s="261"/>
      <c r="AJ348" s="53"/>
    </row>
    <row r="349" ht="14.25" customHeight="1">
      <c r="E349" s="260"/>
      <c r="G349" s="260"/>
      <c r="H349" s="260"/>
      <c r="Y349" s="261"/>
      <c r="AJ349" s="53"/>
    </row>
    <row r="350" ht="14.25" customHeight="1">
      <c r="E350" s="260"/>
      <c r="G350" s="260"/>
      <c r="H350" s="260"/>
      <c r="Y350" s="261"/>
      <c r="AJ350" s="53"/>
    </row>
    <row r="351" ht="14.25" customHeight="1">
      <c r="E351" s="260"/>
      <c r="G351" s="260"/>
      <c r="H351" s="260"/>
      <c r="Y351" s="261"/>
      <c r="AJ351" s="53"/>
    </row>
    <row r="352" ht="14.25" customHeight="1">
      <c r="E352" s="260"/>
      <c r="G352" s="260"/>
      <c r="H352" s="260"/>
      <c r="Y352" s="261"/>
      <c r="AJ352" s="53"/>
    </row>
    <row r="353" ht="14.25" customHeight="1">
      <c r="E353" s="260"/>
      <c r="G353" s="260"/>
      <c r="H353" s="260"/>
      <c r="Y353" s="261"/>
      <c r="AJ353" s="53"/>
    </row>
    <row r="354" ht="14.25" customHeight="1">
      <c r="E354" s="260"/>
      <c r="G354" s="260"/>
      <c r="H354" s="260"/>
      <c r="Y354" s="261"/>
      <c r="AJ354" s="53"/>
    </row>
    <row r="355" ht="14.25" customHeight="1">
      <c r="E355" s="260"/>
      <c r="G355" s="260"/>
      <c r="H355" s="260"/>
      <c r="Y355" s="261"/>
      <c r="AJ355" s="53"/>
    </row>
    <row r="356" ht="14.25" customHeight="1">
      <c r="E356" s="260"/>
      <c r="G356" s="260"/>
      <c r="H356" s="260"/>
      <c r="Y356" s="261"/>
      <c r="AJ356" s="53"/>
    </row>
    <row r="357" ht="14.25" customHeight="1">
      <c r="E357" s="260"/>
      <c r="G357" s="260"/>
      <c r="H357" s="260"/>
      <c r="Y357" s="261"/>
      <c r="AJ357" s="53"/>
    </row>
    <row r="358" ht="14.25" customHeight="1">
      <c r="E358" s="260"/>
      <c r="G358" s="260"/>
      <c r="H358" s="260"/>
      <c r="Y358" s="261"/>
      <c r="AJ358" s="53"/>
    </row>
    <row r="359" ht="14.25" customHeight="1">
      <c r="E359" s="260"/>
      <c r="G359" s="260"/>
      <c r="H359" s="260"/>
      <c r="Y359" s="261"/>
      <c r="AJ359" s="53"/>
    </row>
    <row r="360" ht="14.25" customHeight="1">
      <c r="E360" s="260"/>
      <c r="G360" s="260"/>
      <c r="H360" s="260"/>
      <c r="Y360" s="261"/>
      <c r="AJ360" s="53"/>
    </row>
    <row r="361" ht="14.25" customHeight="1">
      <c r="E361" s="260"/>
      <c r="G361" s="260"/>
      <c r="H361" s="260"/>
      <c r="Y361" s="261"/>
      <c r="AJ361" s="53"/>
    </row>
    <row r="362" ht="14.25" customHeight="1">
      <c r="E362" s="260"/>
      <c r="G362" s="260"/>
      <c r="H362" s="260"/>
      <c r="Y362" s="261"/>
      <c r="AJ362" s="53"/>
    </row>
    <row r="363" ht="14.25" customHeight="1">
      <c r="E363" s="260"/>
      <c r="G363" s="260"/>
      <c r="H363" s="260"/>
      <c r="Y363" s="261"/>
      <c r="AJ363" s="53"/>
    </row>
    <row r="364" ht="14.25" customHeight="1">
      <c r="E364" s="260"/>
      <c r="G364" s="260"/>
      <c r="H364" s="260"/>
      <c r="Y364" s="261"/>
      <c r="AJ364" s="53"/>
    </row>
    <row r="365" ht="14.25" customHeight="1">
      <c r="E365" s="260"/>
      <c r="G365" s="260"/>
      <c r="H365" s="260"/>
      <c r="Y365" s="261"/>
      <c r="AJ365" s="53"/>
    </row>
    <row r="366" ht="14.25" customHeight="1">
      <c r="E366" s="260"/>
      <c r="G366" s="260"/>
      <c r="H366" s="260"/>
      <c r="Y366" s="261"/>
      <c r="AJ366" s="53"/>
    </row>
    <row r="367" ht="14.25" customHeight="1">
      <c r="E367" s="260"/>
      <c r="G367" s="260"/>
      <c r="H367" s="260"/>
      <c r="Y367" s="261"/>
      <c r="AJ367" s="53"/>
    </row>
    <row r="368" ht="14.25" customHeight="1">
      <c r="E368" s="260"/>
      <c r="G368" s="260"/>
      <c r="H368" s="260"/>
      <c r="Y368" s="261"/>
      <c r="AJ368" s="53"/>
    </row>
    <row r="369" ht="14.25" customHeight="1">
      <c r="E369" s="260"/>
      <c r="G369" s="260"/>
      <c r="H369" s="260"/>
      <c r="Y369" s="261"/>
      <c r="AJ369" s="53"/>
    </row>
    <row r="370" ht="14.25" customHeight="1">
      <c r="E370" s="260"/>
      <c r="G370" s="260"/>
      <c r="H370" s="260"/>
      <c r="Y370" s="261"/>
      <c r="AJ370" s="53"/>
    </row>
    <row r="371" ht="14.25" customHeight="1">
      <c r="E371" s="260"/>
      <c r="G371" s="260"/>
      <c r="H371" s="260"/>
      <c r="Y371" s="261"/>
      <c r="AJ371" s="53"/>
    </row>
    <row r="372" ht="14.25" customHeight="1">
      <c r="E372" s="260"/>
      <c r="G372" s="260"/>
      <c r="H372" s="260"/>
      <c r="Y372" s="261"/>
      <c r="AJ372" s="53"/>
    </row>
    <row r="373" ht="14.25" customHeight="1">
      <c r="E373" s="260"/>
      <c r="G373" s="260"/>
      <c r="H373" s="260"/>
      <c r="Y373" s="261"/>
      <c r="AJ373" s="53"/>
    </row>
    <row r="374" ht="14.25" customHeight="1">
      <c r="E374" s="260"/>
      <c r="G374" s="260"/>
      <c r="H374" s="260"/>
      <c r="Y374" s="261"/>
      <c r="AJ374" s="53"/>
    </row>
    <row r="375" ht="14.25" customHeight="1">
      <c r="E375" s="260"/>
      <c r="G375" s="260"/>
      <c r="H375" s="260"/>
      <c r="Y375" s="261"/>
      <c r="AJ375" s="53"/>
    </row>
    <row r="376" ht="14.25" customHeight="1">
      <c r="E376" s="260"/>
      <c r="G376" s="260"/>
      <c r="H376" s="260"/>
      <c r="Y376" s="261"/>
      <c r="AJ376" s="53"/>
    </row>
    <row r="377" ht="14.25" customHeight="1">
      <c r="E377" s="260"/>
      <c r="G377" s="260"/>
      <c r="H377" s="260"/>
      <c r="Y377" s="261"/>
      <c r="AJ377" s="53"/>
    </row>
    <row r="378" ht="14.25" customHeight="1">
      <c r="E378" s="260"/>
      <c r="G378" s="260"/>
      <c r="H378" s="260"/>
      <c r="Y378" s="261"/>
      <c r="AJ378" s="53"/>
    </row>
    <row r="379" ht="14.25" customHeight="1">
      <c r="E379" s="260"/>
      <c r="G379" s="260"/>
      <c r="H379" s="260"/>
      <c r="Y379" s="261"/>
      <c r="AJ379" s="53"/>
    </row>
    <row r="380" ht="14.25" customHeight="1">
      <c r="E380" s="260"/>
      <c r="G380" s="260"/>
      <c r="H380" s="260"/>
      <c r="Y380" s="261"/>
      <c r="AJ380" s="53"/>
    </row>
    <row r="381" ht="14.25" customHeight="1">
      <c r="E381" s="260"/>
      <c r="G381" s="260"/>
      <c r="H381" s="260"/>
      <c r="Y381" s="261"/>
      <c r="AJ381" s="53"/>
    </row>
    <row r="382" ht="14.25" customHeight="1">
      <c r="E382" s="260"/>
      <c r="G382" s="260"/>
      <c r="H382" s="260"/>
      <c r="Y382" s="261"/>
      <c r="AJ382" s="53"/>
    </row>
    <row r="383" ht="14.25" customHeight="1">
      <c r="E383" s="260"/>
      <c r="G383" s="260"/>
      <c r="H383" s="260"/>
      <c r="Y383" s="261"/>
      <c r="AJ383" s="53"/>
    </row>
    <row r="384" ht="14.25" customHeight="1">
      <c r="E384" s="260"/>
      <c r="G384" s="260"/>
      <c r="H384" s="260"/>
      <c r="Y384" s="261"/>
      <c r="AJ384" s="53"/>
    </row>
    <row r="385" ht="14.25" customHeight="1">
      <c r="E385" s="260"/>
      <c r="G385" s="260"/>
      <c r="H385" s="260"/>
      <c r="Y385" s="261"/>
      <c r="AJ385" s="53"/>
    </row>
    <row r="386" ht="14.25" customHeight="1">
      <c r="E386" s="260"/>
      <c r="G386" s="260"/>
      <c r="H386" s="260"/>
      <c r="Y386" s="261"/>
      <c r="AJ386" s="53"/>
    </row>
    <row r="387" ht="14.25" customHeight="1">
      <c r="E387" s="260"/>
      <c r="G387" s="260"/>
      <c r="H387" s="260"/>
      <c r="Y387" s="261"/>
      <c r="AJ387" s="53"/>
    </row>
    <row r="388" ht="14.25" customHeight="1">
      <c r="E388" s="260"/>
      <c r="G388" s="260"/>
      <c r="H388" s="260"/>
      <c r="Y388" s="261"/>
      <c r="AJ388" s="53"/>
    </row>
    <row r="389" ht="14.25" customHeight="1">
      <c r="E389" s="260"/>
      <c r="G389" s="260"/>
      <c r="H389" s="260"/>
      <c r="Y389" s="261"/>
      <c r="AJ389" s="53"/>
    </row>
    <row r="390" ht="14.25" customHeight="1">
      <c r="E390" s="260"/>
      <c r="G390" s="260"/>
      <c r="H390" s="260"/>
      <c r="Y390" s="261"/>
      <c r="AJ390" s="53"/>
    </row>
    <row r="391" ht="14.25" customHeight="1">
      <c r="E391" s="260"/>
      <c r="G391" s="260"/>
      <c r="H391" s="260"/>
      <c r="Y391" s="261"/>
      <c r="AJ391" s="53"/>
    </row>
    <row r="392" ht="14.25" customHeight="1">
      <c r="E392" s="260"/>
      <c r="G392" s="260"/>
      <c r="H392" s="260"/>
      <c r="Y392" s="261"/>
      <c r="AJ392" s="53"/>
    </row>
    <row r="393" ht="14.25" customHeight="1">
      <c r="E393" s="260"/>
      <c r="G393" s="260"/>
      <c r="H393" s="260"/>
      <c r="Y393" s="261"/>
      <c r="AJ393" s="53"/>
    </row>
    <row r="394" ht="14.25" customHeight="1">
      <c r="E394" s="260"/>
      <c r="G394" s="260"/>
      <c r="H394" s="260"/>
      <c r="Y394" s="261"/>
      <c r="AJ394" s="53"/>
    </row>
    <row r="395" ht="14.25" customHeight="1">
      <c r="E395" s="260"/>
      <c r="G395" s="260"/>
      <c r="H395" s="260"/>
      <c r="Y395" s="261"/>
      <c r="AJ395" s="53"/>
    </row>
    <row r="396" ht="14.25" customHeight="1">
      <c r="E396" s="260"/>
      <c r="G396" s="260"/>
      <c r="H396" s="260"/>
      <c r="Y396" s="261"/>
      <c r="AJ396" s="53"/>
    </row>
    <row r="397" ht="14.25" customHeight="1">
      <c r="E397" s="260"/>
      <c r="G397" s="260"/>
      <c r="H397" s="260"/>
      <c r="Y397" s="261"/>
      <c r="AJ397" s="53"/>
    </row>
    <row r="398" ht="14.25" customHeight="1">
      <c r="E398" s="260"/>
      <c r="G398" s="260"/>
      <c r="H398" s="260"/>
      <c r="Y398" s="261"/>
      <c r="AJ398" s="53"/>
    </row>
    <row r="399" ht="14.25" customHeight="1">
      <c r="E399" s="260"/>
      <c r="G399" s="260"/>
      <c r="H399" s="260"/>
      <c r="Y399" s="261"/>
      <c r="AJ399" s="53"/>
    </row>
    <row r="400" ht="14.25" customHeight="1">
      <c r="E400" s="260"/>
      <c r="G400" s="260"/>
      <c r="H400" s="260"/>
      <c r="Y400" s="261"/>
      <c r="AJ400" s="53"/>
    </row>
    <row r="401" ht="14.25" customHeight="1">
      <c r="E401" s="260"/>
      <c r="G401" s="260"/>
      <c r="H401" s="260"/>
      <c r="Y401" s="261"/>
      <c r="AJ401" s="53"/>
    </row>
    <row r="402" ht="14.25" customHeight="1">
      <c r="E402" s="260"/>
      <c r="G402" s="260"/>
      <c r="H402" s="260"/>
      <c r="Y402" s="261"/>
      <c r="AJ402" s="53"/>
    </row>
    <row r="403" ht="14.25" customHeight="1">
      <c r="E403" s="260"/>
      <c r="G403" s="260"/>
      <c r="H403" s="260"/>
      <c r="Y403" s="261"/>
      <c r="AJ403" s="53"/>
    </row>
    <row r="404" ht="14.25" customHeight="1">
      <c r="E404" s="260"/>
      <c r="G404" s="260"/>
      <c r="H404" s="260"/>
      <c r="Y404" s="261"/>
      <c r="AJ404" s="53"/>
    </row>
    <row r="405" ht="14.25" customHeight="1">
      <c r="E405" s="260"/>
      <c r="G405" s="260"/>
      <c r="H405" s="260"/>
      <c r="Y405" s="261"/>
      <c r="AJ405" s="53"/>
    </row>
    <row r="406" ht="14.25" customHeight="1">
      <c r="E406" s="260"/>
      <c r="G406" s="260"/>
      <c r="H406" s="260"/>
      <c r="Y406" s="261"/>
      <c r="AJ406" s="53"/>
    </row>
    <row r="407" ht="14.25" customHeight="1">
      <c r="E407" s="260"/>
      <c r="G407" s="260"/>
      <c r="H407" s="260"/>
      <c r="Y407" s="261"/>
      <c r="AJ407" s="53"/>
    </row>
    <row r="408" ht="14.25" customHeight="1">
      <c r="E408" s="260"/>
      <c r="G408" s="260"/>
      <c r="H408" s="260"/>
      <c r="Y408" s="261"/>
      <c r="AJ408" s="53"/>
    </row>
    <row r="409" ht="14.25" customHeight="1">
      <c r="E409" s="260"/>
      <c r="G409" s="260"/>
      <c r="H409" s="260"/>
      <c r="Y409" s="261"/>
      <c r="AJ409" s="53"/>
    </row>
    <row r="410" ht="14.25" customHeight="1">
      <c r="E410" s="260"/>
      <c r="G410" s="260"/>
      <c r="H410" s="260"/>
      <c r="Y410" s="261"/>
      <c r="AJ410" s="53"/>
    </row>
    <row r="411" ht="14.25" customHeight="1">
      <c r="E411" s="260"/>
      <c r="G411" s="260"/>
      <c r="H411" s="260"/>
      <c r="Y411" s="261"/>
      <c r="AJ411" s="53"/>
    </row>
    <row r="412" ht="14.25" customHeight="1">
      <c r="E412" s="260"/>
      <c r="G412" s="260"/>
      <c r="H412" s="260"/>
      <c r="Y412" s="261"/>
      <c r="AJ412" s="53"/>
    </row>
    <row r="413" ht="14.25" customHeight="1">
      <c r="E413" s="260"/>
      <c r="G413" s="260"/>
      <c r="H413" s="260"/>
      <c r="Y413" s="261"/>
      <c r="AJ413" s="53"/>
    </row>
    <row r="414" ht="14.25" customHeight="1">
      <c r="E414" s="260"/>
      <c r="G414" s="260"/>
      <c r="H414" s="260"/>
      <c r="Y414" s="261"/>
      <c r="AJ414" s="53"/>
    </row>
    <row r="415" ht="14.25" customHeight="1">
      <c r="E415" s="260"/>
      <c r="G415" s="260"/>
      <c r="H415" s="260"/>
      <c r="Y415" s="261"/>
      <c r="AJ415" s="53"/>
    </row>
    <row r="416" ht="14.25" customHeight="1">
      <c r="E416" s="260"/>
      <c r="G416" s="260"/>
      <c r="H416" s="260"/>
      <c r="Y416" s="261"/>
      <c r="AJ416" s="53"/>
    </row>
    <row r="417" ht="14.25" customHeight="1">
      <c r="E417" s="260"/>
      <c r="G417" s="260"/>
      <c r="H417" s="260"/>
      <c r="Y417" s="261"/>
      <c r="AJ417" s="53"/>
    </row>
    <row r="418" ht="14.25" customHeight="1">
      <c r="E418" s="260"/>
      <c r="G418" s="260"/>
      <c r="H418" s="260"/>
      <c r="Y418" s="261"/>
      <c r="AJ418" s="53"/>
    </row>
    <row r="419" ht="14.25" customHeight="1">
      <c r="E419" s="260"/>
      <c r="G419" s="260"/>
      <c r="H419" s="260"/>
      <c r="Y419" s="261"/>
      <c r="AJ419" s="53"/>
    </row>
    <row r="420" ht="14.25" customHeight="1">
      <c r="E420" s="260"/>
      <c r="G420" s="260"/>
      <c r="H420" s="260"/>
      <c r="Y420" s="261"/>
      <c r="AJ420" s="53"/>
    </row>
    <row r="421" ht="14.25" customHeight="1">
      <c r="E421" s="260"/>
      <c r="G421" s="260"/>
      <c r="H421" s="260"/>
      <c r="Y421" s="261"/>
      <c r="AJ421" s="53"/>
    </row>
    <row r="422" ht="14.25" customHeight="1">
      <c r="E422" s="260"/>
      <c r="G422" s="260"/>
      <c r="H422" s="260"/>
      <c r="Y422" s="261"/>
      <c r="AJ422" s="53"/>
    </row>
    <row r="423" ht="14.25" customHeight="1">
      <c r="E423" s="260"/>
      <c r="G423" s="260"/>
      <c r="H423" s="260"/>
      <c r="Y423" s="261"/>
      <c r="AJ423" s="53"/>
    </row>
    <row r="424" ht="14.25" customHeight="1">
      <c r="E424" s="260"/>
      <c r="G424" s="260"/>
      <c r="H424" s="260"/>
      <c r="Y424" s="261"/>
      <c r="AJ424" s="53"/>
    </row>
    <row r="425" ht="14.25" customHeight="1">
      <c r="E425" s="260"/>
      <c r="G425" s="260"/>
      <c r="H425" s="260"/>
      <c r="Y425" s="261"/>
      <c r="AJ425" s="53"/>
    </row>
    <row r="426" ht="14.25" customHeight="1">
      <c r="E426" s="260"/>
      <c r="G426" s="260"/>
      <c r="H426" s="260"/>
      <c r="Y426" s="261"/>
      <c r="AJ426" s="53"/>
    </row>
    <row r="427" ht="14.25" customHeight="1">
      <c r="E427" s="260"/>
      <c r="G427" s="260"/>
      <c r="H427" s="260"/>
      <c r="Y427" s="261"/>
      <c r="AJ427" s="53"/>
    </row>
    <row r="428" ht="14.25" customHeight="1">
      <c r="E428" s="260"/>
      <c r="G428" s="260"/>
      <c r="H428" s="260"/>
      <c r="Y428" s="261"/>
      <c r="AJ428" s="53"/>
    </row>
    <row r="429" ht="14.25" customHeight="1">
      <c r="E429" s="260"/>
      <c r="G429" s="260"/>
      <c r="H429" s="260"/>
      <c r="Y429" s="261"/>
      <c r="AJ429" s="53"/>
    </row>
    <row r="430" ht="14.25" customHeight="1">
      <c r="E430" s="260"/>
      <c r="G430" s="260"/>
      <c r="H430" s="260"/>
      <c r="Y430" s="261"/>
      <c r="AJ430" s="53"/>
    </row>
    <row r="431" ht="14.25" customHeight="1">
      <c r="E431" s="260"/>
      <c r="G431" s="260"/>
      <c r="H431" s="260"/>
      <c r="Y431" s="261"/>
      <c r="AJ431" s="53"/>
    </row>
    <row r="432" ht="14.25" customHeight="1">
      <c r="E432" s="260"/>
      <c r="G432" s="260"/>
      <c r="H432" s="260"/>
      <c r="Y432" s="261"/>
      <c r="AJ432" s="53"/>
    </row>
    <row r="433" ht="14.25" customHeight="1">
      <c r="E433" s="260"/>
      <c r="G433" s="260"/>
      <c r="H433" s="260"/>
      <c r="Y433" s="261"/>
      <c r="AJ433" s="53"/>
    </row>
    <row r="434" ht="14.25" customHeight="1">
      <c r="E434" s="260"/>
      <c r="G434" s="260"/>
      <c r="H434" s="260"/>
      <c r="Y434" s="261"/>
      <c r="AJ434" s="53"/>
    </row>
    <row r="435" ht="14.25" customHeight="1">
      <c r="E435" s="260"/>
      <c r="G435" s="260"/>
      <c r="H435" s="260"/>
      <c r="Y435" s="261"/>
      <c r="AJ435" s="53"/>
    </row>
    <row r="436" ht="14.25" customHeight="1">
      <c r="E436" s="260"/>
      <c r="G436" s="260"/>
      <c r="H436" s="260"/>
      <c r="Y436" s="261"/>
      <c r="AJ436" s="53"/>
    </row>
    <row r="437" ht="14.25" customHeight="1">
      <c r="E437" s="260"/>
      <c r="G437" s="260"/>
      <c r="H437" s="260"/>
      <c r="Y437" s="261"/>
      <c r="AJ437" s="53"/>
    </row>
    <row r="438" ht="14.25" customHeight="1">
      <c r="E438" s="260"/>
      <c r="G438" s="260"/>
      <c r="H438" s="260"/>
      <c r="Y438" s="261"/>
      <c r="AJ438" s="53"/>
    </row>
    <row r="439" ht="14.25" customHeight="1">
      <c r="E439" s="260"/>
      <c r="G439" s="260"/>
      <c r="H439" s="260"/>
      <c r="Y439" s="261"/>
      <c r="AJ439" s="53"/>
    </row>
    <row r="440" ht="14.25" customHeight="1">
      <c r="E440" s="260"/>
      <c r="G440" s="260"/>
      <c r="H440" s="260"/>
      <c r="Y440" s="261"/>
      <c r="AJ440" s="53"/>
    </row>
    <row r="441" ht="14.25" customHeight="1">
      <c r="E441" s="260"/>
      <c r="G441" s="260"/>
      <c r="H441" s="260"/>
      <c r="Y441" s="261"/>
      <c r="AJ441" s="53"/>
    </row>
    <row r="442" ht="14.25" customHeight="1">
      <c r="E442" s="260"/>
      <c r="G442" s="260"/>
      <c r="H442" s="260"/>
      <c r="Y442" s="261"/>
      <c r="AJ442" s="53"/>
    </row>
    <row r="443" ht="14.25" customHeight="1">
      <c r="E443" s="260"/>
      <c r="G443" s="260"/>
      <c r="H443" s="260"/>
      <c r="Y443" s="261"/>
      <c r="AJ443" s="53"/>
    </row>
    <row r="444" ht="14.25" customHeight="1">
      <c r="E444" s="260"/>
      <c r="G444" s="260"/>
      <c r="H444" s="260"/>
      <c r="Y444" s="261"/>
      <c r="AJ444" s="53"/>
    </row>
    <row r="445" ht="14.25" customHeight="1">
      <c r="E445" s="260"/>
      <c r="G445" s="260"/>
      <c r="H445" s="260"/>
      <c r="Y445" s="261"/>
      <c r="AJ445" s="53"/>
    </row>
    <row r="446" ht="14.25" customHeight="1">
      <c r="E446" s="260"/>
      <c r="G446" s="260"/>
      <c r="H446" s="260"/>
      <c r="Y446" s="261"/>
      <c r="AJ446" s="53"/>
    </row>
    <row r="447" ht="14.25" customHeight="1">
      <c r="E447" s="260"/>
      <c r="G447" s="260"/>
      <c r="H447" s="260"/>
      <c r="Y447" s="261"/>
      <c r="AJ447" s="53"/>
    </row>
    <row r="448" ht="14.25" customHeight="1">
      <c r="E448" s="260"/>
      <c r="G448" s="260"/>
      <c r="H448" s="260"/>
      <c r="Y448" s="261"/>
      <c r="AJ448" s="53"/>
    </row>
    <row r="449" ht="14.25" customHeight="1">
      <c r="E449" s="260"/>
      <c r="G449" s="260"/>
      <c r="H449" s="260"/>
      <c r="Y449" s="261"/>
      <c r="AJ449" s="53"/>
    </row>
    <row r="450" ht="14.25" customHeight="1">
      <c r="E450" s="260"/>
      <c r="G450" s="260"/>
      <c r="H450" s="260"/>
      <c r="Y450" s="261"/>
      <c r="AJ450" s="53"/>
    </row>
    <row r="451" ht="14.25" customHeight="1">
      <c r="E451" s="260"/>
      <c r="G451" s="260"/>
      <c r="H451" s="260"/>
      <c r="Y451" s="261"/>
      <c r="AJ451" s="53"/>
    </row>
    <row r="452" ht="14.25" customHeight="1">
      <c r="E452" s="260"/>
      <c r="G452" s="260"/>
      <c r="H452" s="260"/>
      <c r="Y452" s="261"/>
      <c r="AJ452" s="53"/>
    </row>
    <row r="453" ht="14.25" customHeight="1">
      <c r="E453" s="260"/>
      <c r="G453" s="260"/>
      <c r="H453" s="260"/>
      <c r="Y453" s="261"/>
      <c r="AJ453" s="53"/>
    </row>
    <row r="454" ht="14.25" customHeight="1">
      <c r="E454" s="260"/>
      <c r="G454" s="260"/>
      <c r="H454" s="260"/>
      <c r="Y454" s="261"/>
      <c r="AJ454" s="53"/>
    </row>
    <row r="455" ht="14.25" customHeight="1">
      <c r="E455" s="260"/>
      <c r="G455" s="260"/>
      <c r="H455" s="260"/>
      <c r="Y455" s="261"/>
      <c r="AJ455" s="53"/>
    </row>
    <row r="456" ht="14.25" customHeight="1">
      <c r="E456" s="260"/>
      <c r="G456" s="260"/>
      <c r="H456" s="260"/>
      <c r="Y456" s="261"/>
      <c r="AJ456" s="53"/>
    </row>
    <row r="457" ht="14.25" customHeight="1">
      <c r="E457" s="260"/>
      <c r="G457" s="260"/>
      <c r="H457" s="260"/>
      <c r="Y457" s="261"/>
      <c r="AJ457" s="53"/>
    </row>
    <row r="458" ht="14.25" customHeight="1">
      <c r="E458" s="260"/>
      <c r="G458" s="260"/>
      <c r="H458" s="260"/>
      <c r="Y458" s="261"/>
      <c r="AJ458" s="53"/>
    </row>
    <row r="459" ht="14.25" customHeight="1">
      <c r="E459" s="260"/>
      <c r="G459" s="260"/>
      <c r="H459" s="260"/>
      <c r="Y459" s="261"/>
      <c r="AJ459" s="53"/>
    </row>
    <row r="460" ht="14.25" customHeight="1">
      <c r="E460" s="260"/>
      <c r="G460" s="260"/>
      <c r="H460" s="260"/>
      <c r="Y460" s="261"/>
      <c r="AJ460" s="53"/>
    </row>
    <row r="461" ht="14.25" customHeight="1">
      <c r="E461" s="260"/>
      <c r="G461" s="260"/>
      <c r="H461" s="260"/>
      <c r="Y461" s="261"/>
      <c r="AJ461" s="53"/>
    </row>
    <row r="462" ht="14.25" customHeight="1">
      <c r="E462" s="260"/>
      <c r="G462" s="260"/>
      <c r="H462" s="260"/>
      <c r="Y462" s="261"/>
      <c r="AJ462" s="53"/>
    </row>
    <row r="463" ht="14.25" customHeight="1">
      <c r="E463" s="260"/>
      <c r="G463" s="260"/>
      <c r="H463" s="260"/>
      <c r="Y463" s="261"/>
      <c r="AJ463" s="53"/>
    </row>
    <row r="464" ht="14.25" customHeight="1">
      <c r="E464" s="260"/>
      <c r="G464" s="260"/>
      <c r="H464" s="260"/>
      <c r="Y464" s="261"/>
      <c r="AJ464" s="53"/>
    </row>
    <row r="465" ht="14.25" customHeight="1">
      <c r="E465" s="260"/>
      <c r="G465" s="260"/>
      <c r="H465" s="260"/>
      <c r="Y465" s="261"/>
      <c r="AJ465" s="53"/>
    </row>
    <row r="466" ht="14.25" customHeight="1">
      <c r="E466" s="260"/>
      <c r="G466" s="260"/>
      <c r="H466" s="260"/>
      <c r="Y466" s="261"/>
      <c r="AJ466" s="53"/>
    </row>
    <row r="467" ht="14.25" customHeight="1">
      <c r="E467" s="260"/>
      <c r="G467" s="260"/>
      <c r="H467" s="260"/>
      <c r="Y467" s="261"/>
      <c r="AJ467" s="53"/>
    </row>
    <row r="468" ht="14.25" customHeight="1">
      <c r="E468" s="260"/>
      <c r="G468" s="260"/>
      <c r="H468" s="260"/>
      <c r="Y468" s="261"/>
      <c r="AJ468" s="53"/>
    </row>
    <row r="469" ht="14.25" customHeight="1">
      <c r="E469" s="260"/>
      <c r="G469" s="260"/>
      <c r="H469" s="260"/>
      <c r="Y469" s="261"/>
      <c r="AJ469" s="53"/>
    </row>
    <row r="470" ht="14.25" customHeight="1">
      <c r="E470" s="260"/>
      <c r="G470" s="260"/>
      <c r="H470" s="260"/>
      <c r="Y470" s="261"/>
      <c r="AJ470" s="53"/>
    </row>
    <row r="471" ht="14.25" customHeight="1">
      <c r="E471" s="260"/>
      <c r="G471" s="260"/>
      <c r="H471" s="260"/>
      <c r="Y471" s="261"/>
      <c r="AJ471" s="53"/>
    </row>
    <row r="472" ht="14.25" customHeight="1">
      <c r="E472" s="260"/>
      <c r="G472" s="260"/>
      <c r="H472" s="260"/>
      <c r="Y472" s="261"/>
      <c r="AJ472" s="53"/>
    </row>
    <row r="473" ht="14.25" customHeight="1">
      <c r="E473" s="260"/>
      <c r="G473" s="260"/>
      <c r="H473" s="260"/>
      <c r="Y473" s="261"/>
      <c r="AJ473" s="53"/>
    </row>
    <row r="474" ht="14.25" customHeight="1">
      <c r="E474" s="260"/>
      <c r="G474" s="260"/>
      <c r="H474" s="260"/>
      <c r="Y474" s="261"/>
      <c r="AJ474" s="53"/>
    </row>
    <row r="475" ht="14.25" customHeight="1">
      <c r="E475" s="260"/>
      <c r="G475" s="260"/>
      <c r="H475" s="260"/>
      <c r="Y475" s="261"/>
      <c r="AJ475" s="53"/>
    </row>
    <row r="476" ht="14.25" customHeight="1">
      <c r="E476" s="260"/>
      <c r="G476" s="260"/>
      <c r="H476" s="260"/>
      <c r="Y476" s="261"/>
      <c r="AJ476" s="53"/>
    </row>
    <row r="477" ht="14.25" customHeight="1">
      <c r="E477" s="260"/>
      <c r="G477" s="260"/>
      <c r="H477" s="260"/>
      <c r="Y477" s="261"/>
      <c r="AJ477" s="53"/>
    </row>
    <row r="478" ht="14.25" customHeight="1">
      <c r="E478" s="260"/>
      <c r="G478" s="260"/>
      <c r="H478" s="260"/>
      <c r="Y478" s="261"/>
      <c r="AJ478" s="53"/>
    </row>
    <row r="479" ht="14.25" customHeight="1">
      <c r="E479" s="260"/>
      <c r="G479" s="260"/>
      <c r="H479" s="260"/>
      <c r="Y479" s="261"/>
      <c r="AJ479" s="53"/>
    </row>
    <row r="480" ht="14.25" customHeight="1">
      <c r="E480" s="260"/>
      <c r="G480" s="260"/>
      <c r="H480" s="260"/>
      <c r="Y480" s="261"/>
      <c r="AJ480" s="53"/>
    </row>
    <row r="481" ht="14.25" customHeight="1">
      <c r="E481" s="260"/>
      <c r="G481" s="260"/>
      <c r="H481" s="260"/>
      <c r="Y481" s="261"/>
      <c r="AJ481" s="53"/>
    </row>
    <row r="482" ht="14.25" customHeight="1">
      <c r="E482" s="260"/>
      <c r="G482" s="260"/>
      <c r="H482" s="260"/>
      <c r="Y482" s="261"/>
      <c r="AJ482" s="53"/>
    </row>
    <row r="483" ht="14.25" customHeight="1">
      <c r="E483" s="260"/>
      <c r="G483" s="260"/>
      <c r="H483" s="260"/>
      <c r="Y483" s="261"/>
      <c r="AJ483" s="53"/>
    </row>
    <row r="484" ht="14.25" customHeight="1">
      <c r="E484" s="260"/>
      <c r="G484" s="260"/>
      <c r="H484" s="260"/>
      <c r="Y484" s="261"/>
      <c r="AJ484" s="53"/>
    </row>
    <row r="485" ht="14.25" customHeight="1">
      <c r="E485" s="260"/>
      <c r="G485" s="260"/>
      <c r="H485" s="260"/>
      <c r="Y485" s="261"/>
      <c r="AJ485" s="53"/>
    </row>
    <row r="486" ht="14.25" customHeight="1">
      <c r="E486" s="260"/>
      <c r="G486" s="260"/>
      <c r="H486" s="260"/>
      <c r="Y486" s="261"/>
      <c r="AJ486" s="53"/>
    </row>
    <row r="487" ht="14.25" customHeight="1">
      <c r="E487" s="260"/>
      <c r="G487" s="260"/>
      <c r="H487" s="260"/>
      <c r="Y487" s="261"/>
      <c r="AJ487" s="53"/>
    </row>
    <row r="488" ht="14.25" customHeight="1">
      <c r="E488" s="260"/>
      <c r="G488" s="260"/>
      <c r="H488" s="260"/>
      <c r="Y488" s="261"/>
      <c r="AJ488" s="53"/>
    </row>
    <row r="489" ht="14.25" customHeight="1">
      <c r="E489" s="260"/>
      <c r="G489" s="260"/>
      <c r="H489" s="260"/>
      <c r="Y489" s="261"/>
      <c r="AJ489" s="53"/>
    </row>
    <row r="490" ht="14.25" customHeight="1">
      <c r="E490" s="260"/>
      <c r="G490" s="260"/>
      <c r="H490" s="260"/>
      <c r="Y490" s="261"/>
      <c r="AJ490" s="53"/>
    </row>
    <row r="491" ht="14.25" customHeight="1">
      <c r="E491" s="260"/>
      <c r="G491" s="260"/>
      <c r="H491" s="260"/>
      <c r="Y491" s="261"/>
      <c r="AJ491" s="53"/>
    </row>
    <row r="492" ht="14.25" customHeight="1">
      <c r="E492" s="260"/>
      <c r="G492" s="260"/>
      <c r="H492" s="260"/>
      <c r="Y492" s="261"/>
      <c r="AJ492" s="53"/>
    </row>
    <row r="493" ht="14.25" customHeight="1">
      <c r="E493" s="260"/>
      <c r="G493" s="260"/>
      <c r="H493" s="260"/>
      <c r="Y493" s="261"/>
      <c r="AJ493" s="53"/>
    </row>
    <row r="494" ht="14.25" customHeight="1">
      <c r="E494" s="260"/>
      <c r="G494" s="260"/>
      <c r="H494" s="260"/>
      <c r="Y494" s="261"/>
      <c r="AJ494" s="53"/>
    </row>
    <row r="495" ht="14.25" customHeight="1">
      <c r="E495" s="260"/>
      <c r="G495" s="260"/>
      <c r="H495" s="260"/>
      <c r="Y495" s="261"/>
      <c r="AJ495" s="53"/>
    </row>
    <row r="496" ht="14.25" customHeight="1">
      <c r="E496" s="260"/>
      <c r="G496" s="260"/>
      <c r="H496" s="260"/>
      <c r="Y496" s="261"/>
      <c r="AJ496" s="53"/>
    </row>
    <row r="497" ht="14.25" customHeight="1">
      <c r="E497" s="260"/>
      <c r="G497" s="260"/>
      <c r="H497" s="260"/>
      <c r="Y497" s="261"/>
      <c r="AJ497" s="53"/>
    </row>
    <row r="498" ht="14.25" customHeight="1">
      <c r="E498" s="260"/>
      <c r="G498" s="260"/>
      <c r="H498" s="260"/>
      <c r="Y498" s="261"/>
      <c r="AJ498" s="53"/>
    </row>
    <row r="499" ht="14.25" customHeight="1">
      <c r="E499" s="260"/>
      <c r="G499" s="260"/>
      <c r="H499" s="260"/>
      <c r="Y499" s="261"/>
      <c r="AJ499" s="53"/>
    </row>
    <row r="500" ht="14.25" customHeight="1">
      <c r="E500" s="260"/>
      <c r="G500" s="260"/>
      <c r="H500" s="260"/>
      <c r="Y500" s="261"/>
      <c r="AJ500" s="53"/>
    </row>
    <row r="501" ht="14.25" customHeight="1">
      <c r="E501" s="260"/>
      <c r="G501" s="260"/>
      <c r="H501" s="260"/>
      <c r="Y501" s="261"/>
      <c r="AJ501" s="53"/>
    </row>
    <row r="502" ht="14.25" customHeight="1">
      <c r="E502" s="260"/>
      <c r="G502" s="260"/>
      <c r="H502" s="260"/>
      <c r="Y502" s="261"/>
      <c r="AJ502" s="53"/>
    </row>
    <row r="503" ht="14.25" customHeight="1">
      <c r="E503" s="260"/>
      <c r="G503" s="260"/>
      <c r="H503" s="260"/>
      <c r="Y503" s="261"/>
      <c r="AJ503" s="53"/>
    </row>
    <row r="504" ht="14.25" customHeight="1">
      <c r="E504" s="260"/>
      <c r="G504" s="260"/>
      <c r="H504" s="260"/>
      <c r="Y504" s="261"/>
      <c r="AJ504" s="53"/>
    </row>
    <row r="505" ht="14.25" customHeight="1">
      <c r="E505" s="260"/>
      <c r="G505" s="260"/>
      <c r="H505" s="260"/>
      <c r="Y505" s="261"/>
      <c r="AJ505" s="53"/>
    </row>
    <row r="506" ht="14.25" customHeight="1">
      <c r="E506" s="260"/>
      <c r="G506" s="260"/>
      <c r="H506" s="260"/>
      <c r="Y506" s="261"/>
      <c r="AJ506" s="53"/>
    </row>
    <row r="507" ht="14.25" customHeight="1">
      <c r="E507" s="260"/>
      <c r="G507" s="260"/>
      <c r="H507" s="260"/>
      <c r="Y507" s="261"/>
      <c r="AJ507" s="53"/>
    </row>
    <row r="508" ht="14.25" customHeight="1">
      <c r="E508" s="260"/>
      <c r="G508" s="260"/>
      <c r="H508" s="260"/>
      <c r="Y508" s="261"/>
      <c r="AJ508" s="53"/>
    </row>
    <row r="509" ht="14.25" customHeight="1">
      <c r="E509" s="260"/>
      <c r="G509" s="260"/>
      <c r="H509" s="260"/>
      <c r="Y509" s="261"/>
      <c r="AJ509" s="53"/>
    </row>
    <row r="510" ht="14.25" customHeight="1">
      <c r="E510" s="260"/>
      <c r="G510" s="260"/>
      <c r="H510" s="260"/>
      <c r="Y510" s="261"/>
      <c r="AJ510" s="53"/>
    </row>
    <row r="511" ht="14.25" customHeight="1">
      <c r="E511" s="260"/>
      <c r="G511" s="260"/>
      <c r="H511" s="260"/>
      <c r="Y511" s="261"/>
      <c r="AJ511" s="53"/>
    </row>
    <row r="512" ht="14.25" customHeight="1">
      <c r="E512" s="260"/>
      <c r="G512" s="260"/>
      <c r="H512" s="260"/>
      <c r="Y512" s="261"/>
      <c r="AJ512" s="53"/>
    </row>
    <row r="513" ht="14.25" customHeight="1">
      <c r="E513" s="260"/>
      <c r="G513" s="260"/>
      <c r="H513" s="260"/>
      <c r="Y513" s="261"/>
      <c r="AJ513" s="53"/>
    </row>
    <row r="514" ht="14.25" customHeight="1">
      <c r="E514" s="260"/>
      <c r="G514" s="260"/>
      <c r="H514" s="260"/>
      <c r="Y514" s="261"/>
      <c r="AJ514" s="53"/>
    </row>
    <row r="515" ht="14.25" customHeight="1">
      <c r="E515" s="260"/>
      <c r="G515" s="260"/>
      <c r="H515" s="260"/>
      <c r="Y515" s="261"/>
      <c r="AJ515" s="53"/>
    </row>
    <row r="516" ht="14.25" customHeight="1">
      <c r="E516" s="260"/>
      <c r="G516" s="260"/>
      <c r="H516" s="260"/>
      <c r="Y516" s="261"/>
      <c r="AJ516" s="53"/>
    </row>
    <row r="517" ht="14.25" customHeight="1">
      <c r="E517" s="260"/>
      <c r="G517" s="260"/>
      <c r="H517" s="260"/>
      <c r="Y517" s="261"/>
      <c r="AJ517" s="53"/>
    </row>
    <row r="518" ht="14.25" customHeight="1">
      <c r="E518" s="260"/>
      <c r="G518" s="260"/>
      <c r="H518" s="260"/>
      <c r="Y518" s="261"/>
      <c r="AJ518" s="53"/>
    </row>
    <row r="519" ht="14.25" customHeight="1">
      <c r="E519" s="260"/>
      <c r="G519" s="260"/>
      <c r="H519" s="260"/>
      <c r="Y519" s="261"/>
      <c r="AJ519" s="53"/>
    </row>
    <row r="520" ht="14.25" customHeight="1">
      <c r="E520" s="260"/>
      <c r="G520" s="260"/>
      <c r="H520" s="260"/>
      <c r="Y520" s="261"/>
      <c r="AJ520" s="53"/>
    </row>
    <row r="521" ht="14.25" customHeight="1">
      <c r="E521" s="260"/>
      <c r="G521" s="260"/>
      <c r="H521" s="260"/>
      <c r="Y521" s="261"/>
      <c r="AJ521" s="53"/>
    </row>
    <row r="522" ht="14.25" customHeight="1">
      <c r="E522" s="260"/>
      <c r="G522" s="260"/>
      <c r="H522" s="260"/>
      <c r="Y522" s="261"/>
      <c r="AJ522" s="53"/>
    </row>
    <row r="523" ht="14.25" customHeight="1">
      <c r="E523" s="260"/>
      <c r="G523" s="260"/>
      <c r="H523" s="260"/>
      <c r="Y523" s="261"/>
      <c r="AJ523" s="53"/>
    </row>
    <row r="524" ht="14.25" customHeight="1">
      <c r="E524" s="260"/>
      <c r="G524" s="260"/>
      <c r="H524" s="260"/>
      <c r="Y524" s="261"/>
      <c r="AJ524" s="53"/>
    </row>
    <row r="525" ht="14.25" customHeight="1">
      <c r="E525" s="260"/>
      <c r="G525" s="260"/>
      <c r="H525" s="260"/>
      <c r="Y525" s="261"/>
      <c r="AJ525" s="53"/>
    </row>
    <row r="526" ht="14.25" customHeight="1">
      <c r="E526" s="260"/>
      <c r="G526" s="260"/>
      <c r="H526" s="260"/>
      <c r="Y526" s="261"/>
      <c r="AJ526" s="53"/>
    </row>
    <row r="527" ht="14.25" customHeight="1">
      <c r="E527" s="260"/>
      <c r="G527" s="260"/>
      <c r="H527" s="260"/>
      <c r="Y527" s="261"/>
      <c r="AJ527" s="53"/>
    </row>
    <row r="528" ht="14.25" customHeight="1">
      <c r="E528" s="260"/>
      <c r="G528" s="260"/>
      <c r="H528" s="260"/>
      <c r="Y528" s="261"/>
      <c r="AJ528" s="53"/>
    </row>
    <row r="529" ht="14.25" customHeight="1">
      <c r="E529" s="260"/>
      <c r="G529" s="260"/>
      <c r="H529" s="260"/>
      <c r="Y529" s="261"/>
      <c r="AJ529" s="53"/>
    </row>
    <row r="530" ht="14.25" customHeight="1">
      <c r="E530" s="260"/>
      <c r="G530" s="260"/>
      <c r="H530" s="260"/>
      <c r="Y530" s="261"/>
      <c r="AJ530" s="53"/>
    </row>
    <row r="531" ht="14.25" customHeight="1">
      <c r="E531" s="260"/>
      <c r="G531" s="260"/>
      <c r="H531" s="260"/>
      <c r="Y531" s="261"/>
      <c r="AJ531" s="53"/>
    </row>
    <row r="532" ht="14.25" customHeight="1">
      <c r="E532" s="260"/>
      <c r="G532" s="260"/>
      <c r="H532" s="260"/>
      <c r="Y532" s="261"/>
      <c r="AJ532" s="53"/>
    </row>
    <row r="533" ht="14.25" customHeight="1">
      <c r="E533" s="260"/>
      <c r="G533" s="260"/>
      <c r="H533" s="260"/>
      <c r="Y533" s="261"/>
      <c r="AJ533" s="53"/>
    </row>
    <row r="534" ht="14.25" customHeight="1">
      <c r="E534" s="260"/>
      <c r="G534" s="260"/>
      <c r="H534" s="260"/>
      <c r="Y534" s="261"/>
      <c r="AJ534" s="53"/>
    </row>
    <row r="535" ht="14.25" customHeight="1">
      <c r="E535" s="260"/>
      <c r="G535" s="260"/>
      <c r="H535" s="260"/>
      <c r="Y535" s="261"/>
      <c r="AJ535" s="53"/>
    </row>
    <row r="536" ht="14.25" customHeight="1">
      <c r="E536" s="260"/>
      <c r="G536" s="260"/>
      <c r="H536" s="260"/>
      <c r="Y536" s="261"/>
      <c r="AJ536" s="53"/>
    </row>
    <row r="537" ht="14.25" customHeight="1">
      <c r="E537" s="260"/>
      <c r="G537" s="260"/>
      <c r="H537" s="260"/>
      <c r="Y537" s="261"/>
      <c r="AJ537" s="53"/>
    </row>
    <row r="538" ht="14.25" customHeight="1">
      <c r="E538" s="260"/>
      <c r="G538" s="260"/>
      <c r="H538" s="260"/>
      <c r="Y538" s="261"/>
      <c r="AJ538" s="53"/>
    </row>
    <row r="539" ht="14.25" customHeight="1">
      <c r="E539" s="260"/>
      <c r="G539" s="260"/>
      <c r="H539" s="260"/>
      <c r="Y539" s="261"/>
      <c r="AJ539" s="53"/>
    </row>
    <row r="540" ht="14.25" customHeight="1">
      <c r="E540" s="260"/>
      <c r="G540" s="260"/>
      <c r="H540" s="260"/>
      <c r="Y540" s="261"/>
      <c r="AJ540" s="53"/>
    </row>
    <row r="541" ht="14.25" customHeight="1">
      <c r="E541" s="260"/>
      <c r="G541" s="260"/>
      <c r="H541" s="260"/>
      <c r="Y541" s="261"/>
      <c r="AJ541" s="53"/>
    </row>
    <row r="542" ht="14.25" customHeight="1">
      <c r="E542" s="260"/>
      <c r="G542" s="260"/>
      <c r="H542" s="260"/>
      <c r="Y542" s="261"/>
      <c r="AJ542" s="53"/>
    </row>
    <row r="543" ht="14.25" customHeight="1">
      <c r="E543" s="260"/>
      <c r="G543" s="260"/>
      <c r="H543" s="260"/>
      <c r="Y543" s="261"/>
      <c r="AJ543" s="53"/>
    </row>
    <row r="544" ht="14.25" customHeight="1">
      <c r="E544" s="260"/>
      <c r="G544" s="260"/>
      <c r="H544" s="260"/>
      <c r="Y544" s="261"/>
      <c r="AJ544" s="53"/>
    </row>
    <row r="545" ht="14.25" customHeight="1">
      <c r="E545" s="260"/>
      <c r="G545" s="260"/>
      <c r="H545" s="260"/>
      <c r="Y545" s="261"/>
      <c r="AJ545" s="53"/>
    </row>
    <row r="546" ht="14.25" customHeight="1">
      <c r="E546" s="260"/>
      <c r="G546" s="260"/>
      <c r="H546" s="260"/>
      <c r="Y546" s="261"/>
      <c r="AJ546" s="53"/>
    </row>
    <row r="547" ht="14.25" customHeight="1">
      <c r="E547" s="260"/>
      <c r="G547" s="260"/>
      <c r="H547" s="260"/>
      <c r="Y547" s="261"/>
      <c r="AJ547" s="53"/>
    </row>
    <row r="548" ht="14.25" customHeight="1">
      <c r="E548" s="260"/>
      <c r="G548" s="260"/>
      <c r="H548" s="260"/>
      <c r="Y548" s="261"/>
      <c r="AJ548" s="53"/>
    </row>
    <row r="549" ht="14.25" customHeight="1">
      <c r="E549" s="260"/>
      <c r="G549" s="260"/>
      <c r="H549" s="260"/>
      <c r="Y549" s="261"/>
      <c r="AJ549" s="53"/>
    </row>
    <row r="550" ht="14.25" customHeight="1">
      <c r="E550" s="260"/>
      <c r="G550" s="260"/>
      <c r="H550" s="260"/>
      <c r="Y550" s="261"/>
      <c r="AJ550" s="53"/>
    </row>
    <row r="551" ht="14.25" customHeight="1">
      <c r="E551" s="260"/>
      <c r="G551" s="260"/>
      <c r="H551" s="260"/>
      <c r="Y551" s="261"/>
      <c r="AJ551" s="53"/>
    </row>
    <row r="552" ht="14.25" customHeight="1">
      <c r="E552" s="260"/>
      <c r="G552" s="260"/>
      <c r="H552" s="260"/>
      <c r="Y552" s="261"/>
      <c r="AJ552" s="53"/>
    </row>
    <row r="553" ht="14.25" customHeight="1">
      <c r="E553" s="260"/>
      <c r="G553" s="260"/>
      <c r="H553" s="260"/>
      <c r="Y553" s="261"/>
      <c r="AJ553" s="53"/>
    </row>
    <row r="554" ht="14.25" customHeight="1">
      <c r="E554" s="260"/>
      <c r="G554" s="260"/>
      <c r="H554" s="260"/>
      <c r="Y554" s="261"/>
      <c r="AJ554" s="53"/>
    </row>
    <row r="555" ht="14.25" customHeight="1">
      <c r="E555" s="260"/>
      <c r="G555" s="260"/>
      <c r="H555" s="260"/>
      <c r="Y555" s="261"/>
      <c r="AJ555" s="53"/>
    </row>
    <row r="556" ht="14.25" customHeight="1">
      <c r="E556" s="260"/>
      <c r="G556" s="260"/>
      <c r="H556" s="260"/>
      <c r="Y556" s="261"/>
      <c r="AJ556" s="53"/>
    </row>
    <row r="557" ht="14.25" customHeight="1">
      <c r="E557" s="260"/>
      <c r="G557" s="260"/>
      <c r="H557" s="260"/>
      <c r="Y557" s="261"/>
      <c r="AJ557" s="53"/>
    </row>
    <row r="558" ht="14.25" customHeight="1">
      <c r="E558" s="260"/>
      <c r="G558" s="260"/>
      <c r="H558" s="260"/>
      <c r="Y558" s="261"/>
      <c r="AJ558" s="53"/>
    </row>
    <row r="559" ht="14.25" customHeight="1">
      <c r="E559" s="260"/>
      <c r="G559" s="260"/>
      <c r="H559" s="260"/>
      <c r="Y559" s="261"/>
      <c r="AJ559" s="53"/>
    </row>
    <row r="560" ht="14.25" customHeight="1">
      <c r="E560" s="260"/>
      <c r="G560" s="260"/>
      <c r="H560" s="260"/>
      <c r="Y560" s="261"/>
      <c r="AJ560" s="53"/>
    </row>
    <row r="561" ht="14.25" customHeight="1">
      <c r="E561" s="260"/>
      <c r="G561" s="260"/>
      <c r="H561" s="260"/>
      <c r="Y561" s="261"/>
      <c r="AJ561" s="53"/>
    </row>
    <row r="562" ht="14.25" customHeight="1">
      <c r="E562" s="260"/>
      <c r="G562" s="260"/>
      <c r="H562" s="260"/>
      <c r="Y562" s="261"/>
      <c r="AJ562" s="53"/>
    </row>
    <row r="563" ht="14.25" customHeight="1">
      <c r="E563" s="260"/>
      <c r="G563" s="260"/>
      <c r="H563" s="260"/>
      <c r="Y563" s="261"/>
      <c r="AJ563" s="53"/>
    </row>
    <row r="564" ht="14.25" customHeight="1">
      <c r="E564" s="260"/>
      <c r="G564" s="260"/>
      <c r="H564" s="260"/>
      <c r="Y564" s="261"/>
      <c r="AJ564" s="53"/>
    </row>
    <row r="565" ht="14.25" customHeight="1">
      <c r="E565" s="260"/>
      <c r="G565" s="260"/>
      <c r="H565" s="260"/>
      <c r="Y565" s="261"/>
      <c r="AJ565" s="53"/>
    </row>
    <row r="566" ht="14.25" customHeight="1">
      <c r="E566" s="260"/>
      <c r="G566" s="260"/>
      <c r="H566" s="260"/>
      <c r="Y566" s="261"/>
      <c r="AJ566" s="53"/>
    </row>
    <row r="567" ht="14.25" customHeight="1">
      <c r="E567" s="260"/>
      <c r="G567" s="260"/>
      <c r="H567" s="260"/>
      <c r="Y567" s="261"/>
      <c r="AJ567" s="53"/>
    </row>
    <row r="568" ht="14.25" customHeight="1">
      <c r="E568" s="260"/>
      <c r="G568" s="260"/>
      <c r="H568" s="260"/>
      <c r="Y568" s="261"/>
      <c r="AJ568" s="53"/>
    </row>
    <row r="569" ht="14.25" customHeight="1">
      <c r="E569" s="260"/>
      <c r="G569" s="260"/>
      <c r="H569" s="260"/>
      <c r="Y569" s="261"/>
      <c r="AJ569" s="53"/>
    </row>
    <row r="570" ht="14.25" customHeight="1">
      <c r="E570" s="260"/>
      <c r="G570" s="260"/>
      <c r="H570" s="260"/>
      <c r="Y570" s="261"/>
      <c r="AJ570" s="53"/>
    </row>
    <row r="571" ht="14.25" customHeight="1">
      <c r="E571" s="260"/>
      <c r="G571" s="260"/>
      <c r="H571" s="260"/>
      <c r="Y571" s="261"/>
      <c r="AJ571" s="53"/>
    </row>
    <row r="572" ht="14.25" customHeight="1">
      <c r="E572" s="260"/>
      <c r="G572" s="260"/>
      <c r="H572" s="260"/>
      <c r="Y572" s="261"/>
      <c r="AJ572" s="53"/>
    </row>
    <row r="573" ht="14.25" customHeight="1">
      <c r="E573" s="260"/>
      <c r="G573" s="260"/>
      <c r="H573" s="260"/>
      <c r="Y573" s="261"/>
      <c r="AJ573" s="53"/>
    </row>
    <row r="574" ht="14.25" customHeight="1">
      <c r="E574" s="260"/>
      <c r="G574" s="260"/>
      <c r="H574" s="260"/>
      <c r="Y574" s="261"/>
      <c r="AJ574" s="53"/>
    </row>
    <row r="575" ht="14.25" customHeight="1">
      <c r="E575" s="260"/>
      <c r="G575" s="260"/>
      <c r="H575" s="260"/>
      <c r="Y575" s="261"/>
      <c r="AJ575" s="53"/>
    </row>
    <row r="576" ht="14.25" customHeight="1">
      <c r="E576" s="260"/>
      <c r="G576" s="260"/>
      <c r="H576" s="260"/>
      <c r="Y576" s="261"/>
      <c r="AJ576" s="53"/>
    </row>
    <row r="577" ht="14.25" customHeight="1">
      <c r="E577" s="260"/>
      <c r="G577" s="260"/>
      <c r="H577" s="260"/>
      <c r="Y577" s="261"/>
      <c r="AJ577" s="53"/>
    </row>
    <row r="578" ht="14.25" customHeight="1">
      <c r="E578" s="260"/>
      <c r="G578" s="260"/>
      <c r="H578" s="260"/>
      <c r="Y578" s="261"/>
      <c r="AJ578" s="53"/>
    </row>
    <row r="579" ht="14.25" customHeight="1">
      <c r="E579" s="260"/>
      <c r="G579" s="260"/>
      <c r="H579" s="260"/>
      <c r="Y579" s="261"/>
      <c r="AJ579" s="53"/>
    </row>
    <row r="580" ht="14.25" customHeight="1">
      <c r="E580" s="260"/>
      <c r="G580" s="260"/>
      <c r="H580" s="260"/>
      <c r="Y580" s="261"/>
      <c r="AJ580" s="53"/>
    </row>
    <row r="581" ht="14.25" customHeight="1">
      <c r="E581" s="260"/>
      <c r="G581" s="260"/>
      <c r="H581" s="260"/>
      <c r="Y581" s="261"/>
      <c r="AJ581" s="53"/>
    </row>
    <row r="582" ht="14.25" customHeight="1">
      <c r="E582" s="260"/>
      <c r="G582" s="260"/>
      <c r="H582" s="260"/>
      <c r="Y582" s="261"/>
      <c r="AJ582" s="53"/>
    </row>
    <row r="583" ht="14.25" customHeight="1">
      <c r="E583" s="260"/>
      <c r="G583" s="260"/>
      <c r="H583" s="260"/>
      <c r="Y583" s="261"/>
      <c r="AJ583" s="53"/>
    </row>
    <row r="584" ht="14.25" customHeight="1">
      <c r="E584" s="260"/>
      <c r="G584" s="260"/>
      <c r="H584" s="260"/>
      <c r="Y584" s="261"/>
      <c r="AJ584" s="53"/>
    </row>
    <row r="585" ht="14.25" customHeight="1">
      <c r="E585" s="260"/>
      <c r="G585" s="260"/>
      <c r="H585" s="260"/>
      <c r="Y585" s="261"/>
      <c r="AJ585" s="53"/>
    </row>
    <row r="586" ht="14.25" customHeight="1">
      <c r="E586" s="260"/>
      <c r="G586" s="260"/>
      <c r="H586" s="260"/>
      <c r="Y586" s="261"/>
      <c r="AJ586" s="53"/>
    </row>
    <row r="587" ht="14.25" customHeight="1">
      <c r="E587" s="260"/>
      <c r="G587" s="260"/>
      <c r="H587" s="260"/>
      <c r="Y587" s="261"/>
      <c r="AJ587" s="53"/>
    </row>
    <row r="588" ht="14.25" customHeight="1">
      <c r="E588" s="260"/>
      <c r="G588" s="260"/>
      <c r="H588" s="260"/>
      <c r="Y588" s="261"/>
      <c r="AJ588" s="53"/>
    </row>
    <row r="589" ht="14.25" customHeight="1">
      <c r="E589" s="260"/>
      <c r="G589" s="260"/>
      <c r="H589" s="260"/>
      <c r="Y589" s="261"/>
      <c r="AJ589" s="53"/>
    </row>
    <row r="590" ht="14.25" customHeight="1">
      <c r="E590" s="260"/>
      <c r="G590" s="260"/>
      <c r="H590" s="260"/>
      <c r="Y590" s="261"/>
      <c r="AJ590" s="53"/>
    </row>
    <row r="591" ht="14.25" customHeight="1">
      <c r="E591" s="260"/>
      <c r="G591" s="260"/>
      <c r="H591" s="260"/>
      <c r="Y591" s="261"/>
      <c r="AJ591" s="53"/>
    </row>
    <row r="592" ht="14.25" customHeight="1">
      <c r="E592" s="260"/>
      <c r="G592" s="260"/>
      <c r="H592" s="260"/>
      <c r="Y592" s="261"/>
      <c r="AJ592" s="53"/>
    </row>
    <row r="593" ht="14.25" customHeight="1">
      <c r="E593" s="260"/>
      <c r="G593" s="260"/>
      <c r="H593" s="260"/>
      <c r="Y593" s="261"/>
      <c r="AJ593" s="53"/>
    </row>
    <row r="594" ht="14.25" customHeight="1">
      <c r="E594" s="260"/>
      <c r="G594" s="260"/>
      <c r="H594" s="260"/>
      <c r="Y594" s="261"/>
      <c r="AJ594" s="53"/>
    </row>
    <row r="595" ht="14.25" customHeight="1">
      <c r="E595" s="260"/>
      <c r="G595" s="260"/>
      <c r="H595" s="260"/>
      <c r="Y595" s="261"/>
      <c r="AJ595" s="53"/>
    </row>
    <row r="596" ht="14.25" customHeight="1">
      <c r="E596" s="260"/>
      <c r="G596" s="260"/>
      <c r="H596" s="260"/>
      <c r="Y596" s="261"/>
      <c r="AJ596" s="53"/>
    </row>
    <row r="597" ht="14.25" customHeight="1">
      <c r="E597" s="260"/>
      <c r="G597" s="260"/>
      <c r="H597" s="260"/>
      <c r="Y597" s="261"/>
      <c r="AJ597" s="53"/>
    </row>
    <row r="598" ht="14.25" customHeight="1">
      <c r="E598" s="260"/>
      <c r="G598" s="260"/>
      <c r="H598" s="260"/>
      <c r="Y598" s="261"/>
      <c r="AJ598" s="53"/>
    </row>
    <row r="599" ht="14.25" customHeight="1">
      <c r="E599" s="260"/>
      <c r="G599" s="260"/>
      <c r="H599" s="260"/>
      <c r="Y599" s="261"/>
      <c r="AJ599" s="53"/>
    </row>
    <row r="600" ht="14.25" customHeight="1">
      <c r="E600" s="260"/>
      <c r="G600" s="260"/>
      <c r="H600" s="260"/>
      <c r="Y600" s="261"/>
      <c r="AJ600" s="53"/>
    </row>
    <row r="601" ht="14.25" customHeight="1">
      <c r="E601" s="260"/>
      <c r="G601" s="260"/>
      <c r="H601" s="260"/>
      <c r="Y601" s="261"/>
      <c r="AJ601" s="53"/>
    </row>
    <row r="602" ht="14.25" customHeight="1">
      <c r="E602" s="260"/>
      <c r="G602" s="260"/>
      <c r="H602" s="260"/>
      <c r="Y602" s="261"/>
      <c r="AJ602" s="53"/>
    </row>
    <row r="603" ht="14.25" customHeight="1">
      <c r="E603" s="260"/>
      <c r="G603" s="260"/>
      <c r="H603" s="260"/>
      <c r="Y603" s="261"/>
      <c r="AJ603" s="53"/>
    </row>
    <row r="604" ht="14.25" customHeight="1">
      <c r="E604" s="260"/>
      <c r="G604" s="260"/>
      <c r="H604" s="260"/>
      <c r="Y604" s="261"/>
      <c r="AJ604" s="53"/>
    </row>
    <row r="605" ht="14.25" customHeight="1">
      <c r="E605" s="260"/>
      <c r="G605" s="260"/>
      <c r="H605" s="260"/>
      <c r="Y605" s="261"/>
      <c r="AJ605" s="53"/>
    </row>
    <row r="606" ht="14.25" customHeight="1">
      <c r="E606" s="260"/>
      <c r="G606" s="260"/>
      <c r="H606" s="260"/>
      <c r="Y606" s="261"/>
      <c r="AJ606" s="53"/>
    </row>
    <row r="607" ht="14.25" customHeight="1">
      <c r="E607" s="260"/>
      <c r="G607" s="260"/>
      <c r="H607" s="260"/>
      <c r="Y607" s="261"/>
      <c r="AJ607" s="53"/>
    </row>
    <row r="608" ht="14.25" customHeight="1">
      <c r="E608" s="260"/>
      <c r="G608" s="260"/>
      <c r="H608" s="260"/>
      <c r="Y608" s="261"/>
      <c r="AJ608" s="53"/>
    </row>
    <row r="609" ht="14.25" customHeight="1">
      <c r="E609" s="260"/>
      <c r="G609" s="260"/>
      <c r="H609" s="260"/>
      <c r="Y609" s="261"/>
      <c r="AJ609" s="53"/>
    </row>
    <row r="610" ht="14.25" customHeight="1">
      <c r="E610" s="260"/>
      <c r="G610" s="260"/>
      <c r="H610" s="260"/>
      <c r="Y610" s="261"/>
      <c r="AJ610" s="53"/>
    </row>
    <row r="611" ht="14.25" customHeight="1">
      <c r="E611" s="260"/>
      <c r="G611" s="260"/>
      <c r="H611" s="260"/>
      <c r="Y611" s="261"/>
      <c r="AJ611" s="53"/>
    </row>
    <row r="612" ht="14.25" customHeight="1">
      <c r="E612" s="260"/>
      <c r="G612" s="260"/>
      <c r="H612" s="260"/>
      <c r="Y612" s="261"/>
      <c r="AJ612" s="53"/>
    </row>
    <row r="613" ht="14.25" customHeight="1">
      <c r="E613" s="260"/>
      <c r="G613" s="260"/>
      <c r="H613" s="260"/>
      <c r="Y613" s="261"/>
      <c r="AJ613" s="53"/>
    </row>
    <row r="614" ht="14.25" customHeight="1">
      <c r="E614" s="260"/>
      <c r="G614" s="260"/>
      <c r="H614" s="260"/>
      <c r="Y614" s="261"/>
      <c r="AJ614" s="53"/>
    </row>
    <row r="615" ht="14.25" customHeight="1">
      <c r="E615" s="260"/>
      <c r="G615" s="260"/>
      <c r="H615" s="260"/>
      <c r="Y615" s="261"/>
      <c r="AJ615" s="53"/>
    </row>
    <row r="616" ht="14.25" customHeight="1">
      <c r="E616" s="260"/>
      <c r="G616" s="260"/>
      <c r="H616" s="260"/>
      <c r="Y616" s="261"/>
      <c r="AJ616" s="53"/>
    </row>
    <row r="617" ht="14.25" customHeight="1">
      <c r="E617" s="260"/>
      <c r="G617" s="260"/>
      <c r="H617" s="260"/>
      <c r="Y617" s="261"/>
      <c r="AJ617" s="53"/>
    </row>
    <row r="618" ht="14.25" customHeight="1">
      <c r="E618" s="260"/>
      <c r="G618" s="260"/>
      <c r="H618" s="260"/>
      <c r="Y618" s="261"/>
      <c r="AJ618" s="53"/>
    </row>
    <row r="619" ht="14.25" customHeight="1">
      <c r="E619" s="260"/>
      <c r="G619" s="260"/>
      <c r="H619" s="260"/>
      <c r="Y619" s="261"/>
      <c r="AJ619" s="53"/>
    </row>
    <row r="620" ht="14.25" customHeight="1">
      <c r="E620" s="260"/>
      <c r="G620" s="260"/>
      <c r="H620" s="260"/>
      <c r="Y620" s="261"/>
      <c r="AJ620" s="53"/>
    </row>
    <row r="621" ht="14.25" customHeight="1">
      <c r="E621" s="260"/>
      <c r="G621" s="260"/>
      <c r="H621" s="260"/>
      <c r="Y621" s="261"/>
      <c r="AJ621" s="53"/>
    </row>
    <row r="622" ht="14.25" customHeight="1">
      <c r="E622" s="260"/>
      <c r="G622" s="260"/>
      <c r="H622" s="260"/>
      <c r="Y622" s="261"/>
      <c r="AJ622" s="53"/>
    </row>
    <row r="623" ht="14.25" customHeight="1">
      <c r="E623" s="260"/>
      <c r="G623" s="260"/>
      <c r="H623" s="260"/>
      <c r="Y623" s="261"/>
      <c r="AJ623" s="53"/>
    </row>
    <row r="624" ht="14.25" customHeight="1">
      <c r="E624" s="260"/>
      <c r="G624" s="260"/>
      <c r="H624" s="260"/>
      <c r="Y624" s="261"/>
      <c r="AJ624" s="53"/>
    </row>
    <row r="625" ht="14.25" customHeight="1">
      <c r="E625" s="260"/>
      <c r="G625" s="260"/>
      <c r="H625" s="260"/>
      <c r="Y625" s="261"/>
      <c r="AJ625" s="53"/>
    </row>
    <row r="626" ht="14.25" customHeight="1">
      <c r="E626" s="260"/>
      <c r="G626" s="260"/>
      <c r="H626" s="260"/>
      <c r="Y626" s="261"/>
      <c r="AJ626" s="53"/>
    </row>
    <row r="627" ht="14.25" customHeight="1">
      <c r="E627" s="260"/>
      <c r="G627" s="260"/>
      <c r="H627" s="260"/>
      <c r="Y627" s="261"/>
      <c r="AJ627" s="53"/>
    </row>
    <row r="628" ht="14.25" customHeight="1">
      <c r="E628" s="260"/>
      <c r="G628" s="260"/>
      <c r="H628" s="260"/>
      <c r="Y628" s="261"/>
      <c r="AJ628" s="53"/>
    </row>
    <row r="629" ht="14.25" customHeight="1">
      <c r="E629" s="260"/>
      <c r="G629" s="260"/>
      <c r="H629" s="260"/>
      <c r="Y629" s="261"/>
      <c r="AJ629" s="53"/>
    </row>
    <row r="630" ht="14.25" customHeight="1">
      <c r="E630" s="260"/>
      <c r="G630" s="260"/>
      <c r="H630" s="260"/>
      <c r="Y630" s="261"/>
      <c r="AJ630" s="53"/>
    </row>
    <row r="631" ht="14.25" customHeight="1">
      <c r="E631" s="260"/>
      <c r="G631" s="260"/>
      <c r="H631" s="260"/>
      <c r="Y631" s="261"/>
      <c r="AJ631" s="53"/>
    </row>
    <row r="632" ht="14.25" customHeight="1">
      <c r="E632" s="260"/>
      <c r="G632" s="260"/>
      <c r="H632" s="260"/>
      <c r="Y632" s="261"/>
      <c r="AJ632" s="53"/>
    </row>
    <row r="633" ht="14.25" customHeight="1">
      <c r="E633" s="260"/>
      <c r="G633" s="260"/>
      <c r="H633" s="260"/>
      <c r="Y633" s="261"/>
      <c r="AJ633" s="53"/>
    </row>
    <row r="634" ht="14.25" customHeight="1">
      <c r="E634" s="260"/>
      <c r="G634" s="260"/>
      <c r="H634" s="260"/>
      <c r="Y634" s="261"/>
      <c r="AJ634" s="53"/>
    </row>
    <row r="635" ht="14.25" customHeight="1">
      <c r="E635" s="260"/>
      <c r="G635" s="260"/>
      <c r="H635" s="260"/>
      <c r="Y635" s="261"/>
      <c r="AJ635" s="53"/>
    </row>
    <row r="636" ht="14.25" customHeight="1">
      <c r="E636" s="260"/>
      <c r="G636" s="260"/>
      <c r="H636" s="260"/>
      <c r="Y636" s="261"/>
      <c r="AJ636" s="53"/>
    </row>
    <row r="637" ht="14.25" customHeight="1">
      <c r="E637" s="260"/>
      <c r="G637" s="260"/>
      <c r="H637" s="260"/>
      <c r="Y637" s="261"/>
      <c r="AJ637" s="53"/>
    </row>
    <row r="638" ht="14.25" customHeight="1">
      <c r="E638" s="260"/>
      <c r="G638" s="260"/>
      <c r="H638" s="260"/>
      <c r="Y638" s="261"/>
      <c r="AJ638" s="53"/>
    </row>
    <row r="639" ht="14.25" customHeight="1">
      <c r="E639" s="260"/>
      <c r="G639" s="260"/>
      <c r="H639" s="260"/>
      <c r="Y639" s="261"/>
      <c r="AJ639" s="53"/>
    </row>
    <row r="640" ht="14.25" customHeight="1">
      <c r="E640" s="260"/>
      <c r="G640" s="260"/>
      <c r="H640" s="260"/>
      <c r="Y640" s="261"/>
      <c r="AJ640" s="53"/>
    </row>
    <row r="641" ht="14.25" customHeight="1">
      <c r="E641" s="260"/>
      <c r="G641" s="260"/>
      <c r="H641" s="260"/>
      <c r="Y641" s="261"/>
      <c r="AJ641" s="53"/>
    </row>
    <row r="642" ht="14.25" customHeight="1">
      <c r="E642" s="260"/>
      <c r="G642" s="260"/>
      <c r="H642" s="260"/>
      <c r="Y642" s="261"/>
      <c r="AJ642" s="53"/>
    </row>
    <row r="643" ht="14.25" customHeight="1">
      <c r="E643" s="260"/>
      <c r="G643" s="260"/>
      <c r="H643" s="260"/>
      <c r="Y643" s="261"/>
      <c r="AJ643" s="53"/>
    </row>
    <row r="644" ht="14.25" customHeight="1">
      <c r="E644" s="260"/>
      <c r="G644" s="260"/>
      <c r="H644" s="260"/>
      <c r="Y644" s="261"/>
      <c r="AJ644" s="53"/>
    </row>
    <row r="645" ht="14.25" customHeight="1">
      <c r="E645" s="260"/>
      <c r="G645" s="260"/>
      <c r="H645" s="260"/>
      <c r="Y645" s="261"/>
      <c r="AJ645" s="53"/>
    </row>
    <row r="646" ht="14.25" customHeight="1">
      <c r="E646" s="260"/>
      <c r="G646" s="260"/>
      <c r="H646" s="260"/>
      <c r="Y646" s="261"/>
      <c r="AJ646" s="53"/>
    </row>
    <row r="647" ht="14.25" customHeight="1">
      <c r="E647" s="260"/>
      <c r="G647" s="260"/>
      <c r="H647" s="260"/>
      <c r="Y647" s="261"/>
      <c r="AJ647" s="53"/>
    </row>
    <row r="648" ht="14.25" customHeight="1">
      <c r="E648" s="260"/>
      <c r="G648" s="260"/>
      <c r="H648" s="260"/>
      <c r="Y648" s="261"/>
      <c r="AJ648" s="53"/>
    </row>
    <row r="649" ht="14.25" customHeight="1">
      <c r="E649" s="260"/>
      <c r="G649" s="260"/>
      <c r="H649" s="260"/>
      <c r="Y649" s="261"/>
      <c r="AJ649" s="53"/>
    </row>
    <row r="650" ht="14.25" customHeight="1">
      <c r="E650" s="260"/>
      <c r="G650" s="260"/>
      <c r="H650" s="260"/>
      <c r="Y650" s="261"/>
      <c r="AJ650" s="53"/>
    </row>
    <row r="651" ht="14.25" customHeight="1">
      <c r="E651" s="260"/>
      <c r="G651" s="260"/>
      <c r="H651" s="260"/>
      <c r="Y651" s="261"/>
      <c r="AJ651" s="53"/>
    </row>
    <row r="652" ht="14.25" customHeight="1">
      <c r="E652" s="260"/>
      <c r="G652" s="260"/>
      <c r="H652" s="260"/>
      <c r="Y652" s="261"/>
      <c r="AJ652" s="53"/>
    </row>
    <row r="653" ht="14.25" customHeight="1">
      <c r="E653" s="260"/>
      <c r="G653" s="260"/>
      <c r="H653" s="260"/>
      <c r="Y653" s="261"/>
      <c r="AJ653" s="53"/>
    </row>
    <row r="654" ht="14.25" customHeight="1">
      <c r="E654" s="260"/>
      <c r="G654" s="260"/>
      <c r="H654" s="260"/>
      <c r="Y654" s="261"/>
      <c r="AJ654" s="53"/>
    </row>
    <row r="655" ht="14.25" customHeight="1">
      <c r="E655" s="260"/>
      <c r="G655" s="260"/>
      <c r="H655" s="260"/>
      <c r="Y655" s="261"/>
      <c r="AJ655" s="53"/>
    </row>
    <row r="656" ht="14.25" customHeight="1">
      <c r="E656" s="260"/>
      <c r="G656" s="260"/>
      <c r="H656" s="260"/>
      <c r="Y656" s="261"/>
      <c r="AJ656" s="53"/>
    </row>
    <row r="657" ht="14.25" customHeight="1">
      <c r="E657" s="260"/>
      <c r="G657" s="260"/>
      <c r="H657" s="260"/>
      <c r="Y657" s="261"/>
      <c r="AJ657" s="53"/>
    </row>
    <row r="658" ht="14.25" customHeight="1">
      <c r="E658" s="260"/>
      <c r="G658" s="260"/>
      <c r="H658" s="260"/>
      <c r="Y658" s="261"/>
      <c r="AJ658" s="53"/>
    </row>
    <row r="659" ht="14.25" customHeight="1">
      <c r="E659" s="260"/>
      <c r="G659" s="260"/>
      <c r="H659" s="260"/>
      <c r="Y659" s="261"/>
      <c r="AJ659" s="53"/>
    </row>
    <row r="660" ht="14.25" customHeight="1">
      <c r="E660" s="260"/>
      <c r="G660" s="260"/>
      <c r="H660" s="260"/>
      <c r="Y660" s="261"/>
      <c r="AJ660" s="53"/>
    </row>
    <row r="661" ht="14.25" customHeight="1">
      <c r="E661" s="260"/>
      <c r="G661" s="260"/>
      <c r="H661" s="260"/>
      <c r="Y661" s="261"/>
      <c r="AJ661" s="53"/>
    </row>
    <row r="662" ht="14.25" customHeight="1">
      <c r="E662" s="260"/>
      <c r="G662" s="260"/>
      <c r="H662" s="260"/>
      <c r="Y662" s="261"/>
      <c r="AJ662" s="53"/>
    </row>
    <row r="663" ht="14.25" customHeight="1">
      <c r="E663" s="260"/>
      <c r="G663" s="260"/>
      <c r="H663" s="260"/>
      <c r="Y663" s="261"/>
      <c r="AJ663" s="53"/>
    </row>
    <row r="664" ht="14.25" customHeight="1">
      <c r="E664" s="260"/>
      <c r="G664" s="260"/>
      <c r="H664" s="260"/>
      <c r="Y664" s="261"/>
      <c r="AJ664" s="53"/>
    </row>
    <row r="665" ht="14.25" customHeight="1">
      <c r="E665" s="260"/>
      <c r="G665" s="260"/>
      <c r="H665" s="260"/>
      <c r="Y665" s="261"/>
      <c r="AJ665" s="53"/>
    </row>
    <row r="666" ht="14.25" customHeight="1">
      <c r="E666" s="260"/>
      <c r="G666" s="260"/>
      <c r="H666" s="260"/>
      <c r="Y666" s="261"/>
      <c r="AJ666" s="53"/>
    </row>
    <row r="667" ht="14.25" customHeight="1">
      <c r="E667" s="260"/>
      <c r="G667" s="260"/>
      <c r="H667" s="260"/>
      <c r="Y667" s="261"/>
      <c r="AJ667" s="53"/>
    </row>
    <row r="668" ht="14.25" customHeight="1">
      <c r="E668" s="260"/>
      <c r="G668" s="260"/>
      <c r="H668" s="260"/>
      <c r="Y668" s="261"/>
      <c r="AJ668" s="53"/>
    </row>
    <row r="669" ht="14.25" customHeight="1">
      <c r="E669" s="260"/>
      <c r="G669" s="260"/>
      <c r="H669" s="260"/>
      <c r="Y669" s="261"/>
      <c r="AJ669" s="53"/>
    </row>
    <row r="670" ht="14.25" customHeight="1">
      <c r="E670" s="260"/>
      <c r="G670" s="260"/>
      <c r="H670" s="260"/>
      <c r="Y670" s="261"/>
      <c r="AJ670" s="53"/>
    </row>
    <row r="671" ht="14.25" customHeight="1">
      <c r="E671" s="260"/>
      <c r="G671" s="260"/>
      <c r="H671" s="260"/>
      <c r="Y671" s="261"/>
      <c r="AJ671" s="53"/>
    </row>
    <row r="672" ht="14.25" customHeight="1">
      <c r="E672" s="260"/>
      <c r="G672" s="260"/>
      <c r="H672" s="260"/>
      <c r="Y672" s="261"/>
      <c r="AJ672" s="53"/>
    </row>
    <row r="673" ht="14.25" customHeight="1">
      <c r="E673" s="260"/>
      <c r="G673" s="260"/>
      <c r="H673" s="260"/>
      <c r="Y673" s="261"/>
      <c r="AJ673" s="53"/>
    </row>
    <row r="674" ht="14.25" customHeight="1">
      <c r="E674" s="260"/>
      <c r="G674" s="260"/>
      <c r="H674" s="260"/>
      <c r="Y674" s="261"/>
      <c r="AJ674" s="53"/>
    </row>
    <row r="675" ht="14.25" customHeight="1">
      <c r="E675" s="260"/>
      <c r="G675" s="260"/>
      <c r="H675" s="260"/>
      <c r="Y675" s="261"/>
      <c r="AJ675" s="53"/>
    </row>
    <row r="676" ht="14.25" customHeight="1">
      <c r="E676" s="260"/>
      <c r="G676" s="260"/>
      <c r="H676" s="260"/>
      <c r="Y676" s="261"/>
      <c r="AJ676" s="53"/>
    </row>
    <row r="677" ht="14.25" customHeight="1">
      <c r="E677" s="260"/>
      <c r="G677" s="260"/>
      <c r="H677" s="260"/>
      <c r="Y677" s="261"/>
      <c r="AJ677" s="53"/>
    </row>
    <row r="678" ht="14.25" customHeight="1">
      <c r="E678" s="260"/>
      <c r="G678" s="260"/>
      <c r="H678" s="260"/>
      <c r="Y678" s="261"/>
      <c r="AJ678" s="53"/>
    </row>
    <row r="679" ht="14.25" customHeight="1">
      <c r="E679" s="260"/>
      <c r="G679" s="260"/>
      <c r="H679" s="260"/>
      <c r="Y679" s="261"/>
      <c r="AJ679" s="53"/>
    </row>
    <row r="680" ht="14.25" customHeight="1">
      <c r="E680" s="260"/>
      <c r="G680" s="260"/>
      <c r="H680" s="260"/>
      <c r="Y680" s="261"/>
      <c r="AJ680" s="53"/>
    </row>
    <row r="681" ht="14.25" customHeight="1">
      <c r="E681" s="260"/>
      <c r="G681" s="260"/>
      <c r="H681" s="260"/>
      <c r="Y681" s="261"/>
      <c r="AJ681" s="53"/>
    </row>
    <row r="682" ht="14.25" customHeight="1">
      <c r="E682" s="260"/>
      <c r="G682" s="260"/>
      <c r="H682" s="260"/>
      <c r="Y682" s="261"/>
      <c r="AJ682" s="53"/>
    </row>
    <row r="683" ht="14.25" customHeight="1">
      <c r="E683" s="260"/>
      <c r="G683" s="260"/>
      <c r="H683" s="260"/>
      <c r="Y683" s="261"/>
      <c r="AJ683" s="53"/>
    </row>
    <row r="684" ht="14.25" customHeight="1">
      <c r="E684" s="260"/>
      <c r="G684" s="260"/>
      <c r="H684" s="260"/>
      <c r="Y684" s="261"/>
      <c r="AJ684" s="53"/>
    </row>
    <row r="685" ht="14.25" customHeight="1">
      <c r="E685" s="260"/>
      <c r="G685" s="260"/>
      <c r="H685" s="260"/>
      <c r="Y685" s="261"/>
      <c r="AJ685" s="53"/>
    </row>
    <row r="686" ht="14.25" customHeight="1">
      <c r="E686" s="260"/>
      <c r="G686" s="260"/>
      <c r="H686" s="260"/>
      <c r="Y686" s="261"/>
      <c r="AJ686" s="53"/>
    </row>
    <row r="687" ht="14.25" customHeight="1">
      <c r="E687" s="260"/>
      <c r="G687" s="260"/>
      <c r="H687" s="260"/>
      <c r="Y687" s="261"/>
      <c r="AJ687" s="53"/>
    </row>
    <row r="688" ht="14.25" customHeight="1">
      <c r="E688" s="260"/>
      <c r="G688" s="260"/>
      <c r="H688" s="260"/>
      <c r="Y688" s="261"/>
      <c r="AJ688" s="53"/>
    </row>
    <row r="689" ht="14.25" customHeight="1">
      <c r="E689" s="260"/>
      <c r="G689" s="260"/>
      <c r="H689" s="260"/>
      <c r="Y689" s="261"/>
      <c r="AJ689" s="53"/>
    </row>
    <row r="690" ht="14.25" customHeight="1">
      <c r="E690" s="260"/>
      <c r="G690" s="260"/>
      <c r="H690" s="260"/>
      <c r="Y690" s="261"/>
      <c r="AJ690" s="53"/>
    </row>
    <row r="691" ht="14.25" customHeight="1">
      <c r="E691" s="260"/>
      <c r="G691" s="260"/>
      <c r="H691" s="260"/>
      <c r="Y691" s="261"/>
      <c r="AJ691" s="53"/>
    </row>
    <row r="692" ht="14.25" customHeight="1">
      <c r="E692" s="260"/>
      <c r="G692" s="260"/>
      <c r="H692" s="260"/>
      <c r="Y692" s="261"/>
      <c r="AJ692" s="53"/>
    </row>
    <row r="693" ht="14.25" customHeight="1">
      <c r="E693" s="260"/>
      <c r="G693" s="260"/>
      <c r="H693" s="260"/>
      <c r="Y693" s="261"/>
      <c r="AJ693" s="53"/>
    </row>
    <row r="694" ht="14.25" customHeight="1">
      <c r="E694" s="260"/>
      <c r="G694" s="260"/>
      <c r="H694" s="260"/>
      <c r="Y694" s="261"/>
      <c r="AJ694" s="53"/>
    </row>
    <row r="695" ht="14.25" customHeight="1">
      <c r="E695" s="260"/>
      <c r="G695" s="260"/>
      <c r="H695" s="260"/>
      <c r="Y695" s="261"/>
      <c r="AJ695" s="53"/>
    </row>
    <row r="696" ht="14.25" customHeight="1">
      <c r="E696" s="260"/>
      <c r="G696" s="260"/>
      <c r="H696" s="260"/>
      <c r="Y696" s="261"/>
      <c r="AJ696" s="53"/>
    </row>
    <row r="697" ht="14.25" customHeight="1">
      <c r="E697" s="260"/>
      <c r="G697" s="260"/>
      <c r="H697" s="260"/>
      <c r="Y697" s="261"/>
      <c r="AJ697" s="53"/>
    </row>
    <row r="698" ht="14.25" customHeight="1">
      <c r="E698" s="260"/>
      <c r="G698" s="260"/>
      <c r="H698" s="260"/>
      <c r="Y698" s="261"/>
      <c r="AJ698" s="53"/>
    </row>
    <row r="699" ht="14.25" customHeight="1">
      <c r="E699" s="260"/>
      <c r="G699" s="260"/>
      <c r="H699" s="260"/>
      <c r="Y699" s="261"/>
      <c r="AJ699" s="53"/>
    </row>
    <row r="700" ht="14.25" customHeight="1">
      <c r="E700" s="260"/>
      <c r="G700" s="260"/>
      <c r="H700" s="260"/>
      <c r="Y700" s="261"/>
      <c r="AJ700" s="53"/>
    </row>
    <row r="701" ht="14.25" customHeight="1">
      <c r="E701" s="260"/>
      <c r="G701" s="260"/>
      <c r="H701" s="260"/>
      <c r="Y701" s="261"/>
      <c r="AJ701" s="53"/>
    </row>
    <row r="702" ht="14.25" customHeight="1">
      <c r="E702" s="260"/>
      <c r="G702" s="260"/>
      <c r="H702" s="260"/>
      <c r="Y702" s="261"/>
      <c r="AJ702" s="53"/>
    </row>
    <row r="703" ht="14.25" customHeight="1">
      <c r="E703" s="260"/>
      <c r="G703" s="260"/>
      <c r="H703" s="260"/>
      <c r="Y703" s="261"/>
      <c r="AJ703" s="53"/>
    </row>
    <row r="704" ht="14.25" customHeight="1">
      <c r="E704" s="260"/>
      <c r="G704" s="260"/>
      <c r="H704" s="260"/>
      <c r="Y704" s="261"/>
      <c r="AJ704" s="53"/>
    </row>
    <row r="705" ht="14.25" customHeight="1">
      <c r="E705" s="260"/>
      <c r="G705" s="260"/>
      <c r="H705" s="260"/>
      <c r="Y705" s="261"/>
      <c r="AJ705" s="53"/>
    </row>
    <row r="706" ht="14.25" customHeight="1">
      <c r="E706" s="260"/>
      <c r="G706" s="260"/>
      <c r="H706" s="260"/>
      <c r="Y706" s="261"/>
      <c r="AJ706" s="53"/>
    </row>
    <row r="707" ht="14.25" customHeight="1">
      <c r="E707" s="260"/>
      <c r="G707" s="260"/>
      <c r="H707" s="260"/>
      <c r="Y707" s="261"/>
      <c r="AJ707" s="53"/>
    </row>
    <row r="708" ht="14.25" customHeight="1">
      <c r="E708" s="260"/>
      <c r="G708" s="260"/>
      <c r="H708" s="260"/>
      <c r="Y708" s="261"/>
      <c r="AJ708" s="53"/>
    </row>
    <row r="709" ht="14.25" customHeight="1">
      <c r="E709" s="260"/>
      <c r="G709" s="260"/>
      <c r="H709" s="260"/>
      <c r="Y709" s="261"/>
      <c r="AJ709" s="53"/>
    </row>
    <row r="710" ht="14.25" customHeight="1">
      <c r="E710" s="260"/>
      <c r="G710" s="260"/>
      <c r="H710" s="260"/>
      <c r="Y710" s="261"/>
      <c r="AJ710" s="53"/>
    </row>
    <row r="711" ht="14.25" customHeight="1">
      <c r="E711" s="260"/>
      <c r="G711" s="260"/>
      <c r="H711" s="260"/>
      <c r="Y711" s="261"/>
      <c r="AJ711" s="53"/>
    </row>
    <row r="712" ht="14.25" customHeight="1">
      <c r="E712" s="260"/>
      <c r="G712" s="260"/>
      <c r="H712" s="260"/>
      <c r="Y712" s="261"/>
      <c r="AJ712" s="53"/>
    </row>
    <row r="713" ht="14.25" customHeight="1">
      <c r="E713" s="260"/>
      <c r="G713" s="260"/>
      <c r="H713" s="260"/>
      <c r="Y713" s="261"/>
      <c r="AJ713" s="53"/>
    </row>
    <row r="714" ht="14.25" customHeight="1">
      <c r="E714" s="260"/>
      <c r="G714" s="260"/>
      <c r="H714" s="260"/>
      <c r="Y714" s="261"/>
      <c r="AJ714" s="53"/>
    </row>
    <row r="715" ht="14.25" customHeight="1">
      <c r="E715" s="260"/>
      <c r="G715" s="260"/>
      <c r="H715" s="260"/>
      <c r="Y715" s="261"/>
      <c r="AJ715" s="53"/>
    </row>
    <row r="716" ht="14.25" customHeight="1">
      <c r="E716" s="260"/>
      <c r="G716" s="260"/>
      <c r="H716" s="260"/>
      <c r="Y716" s="261"/>
      <c r="AJ716" s="53"/>
    </row>
    <row r="717" ht="14.25" customHeight="1">
      <c r="E717" s="260"/>
      <c r="G717" s="260"/>
      <c r="H717" s="260"/>
      <c r="Y717" s="261"/>
      <c r="AJ717" s="53"/>
    </row>
    <row r="718" ht="14.25" customHeight="1">
      <c r="E718" s="260"/>
      <c r="G718" s="260"/>
      <c r="H718" s="260"/>
      <c r="Y718" s="261"/>
      <c r="AJ718" s="53"/>
    </row>
    <row r="719" ht="14.25" customHeight="1">
      <c r="E719" s="260"/>
      <c r="G719" s="260"/>
      <c r="H719" s="260"/>
      <c r="Y719" s="261"/>
      <c r="AJ719" s="53"/>
    </row>
    <row r="720" ht="14.25" customHeight="1">
      <c r="E720" s="260"/>
      <c r="G720" s="260"/>
      <c r="H720" s="260"/>
      <c r="Y720" s="261"/>
      <c r="AJ720" s="53"/>
    </row>
    <row r="721" ht="14.25" customHeight="1">
      <c r="E721" s="260"/>
      <c r="G721" s="260"/>
      <c r="H721" s="260"/>
      <c r="Y721" s="261"/>
      <c r="AJ721" s="53"/>
    </row>
    <row r="722" ht="14.25" customHeight="1">
      <c r="E722" s="260"/>
      <c r="G722" s="260"/>
      <c r="H722" s="260"/>
      <c r="Y722" s="261"/>
      <c r="AJ722" s="53"/>
    </row>
    <row r="723" ht="14.25" customHeight="1">
      <c r="E723" s="260"/>
      <c r="G723" s="260"/>
      <c r="H723" s="260"/>
      <c r="Y723" s="261"/>
      <c r="AJ723" s="53"/>
    </row>
    <row r="724" ht="14.25" customHeight="1">
      <c r="E724" s="260"/>
      <c r="G724" s="260"/>
      <c r="H724" s="260"/>
      <c r="Y724" s="261"/>
      <c r="AJ724" s="53"/>
    </row>
    <row r="725" ht="14.25" customHeight="1">
      <c r="E725" s="260"/>
      <c r="G725" s="260"/>
      <c r="H725" s="260"/>
      <c r="Y725" s="261"/>
      <c r="AJ725" s="53"/>
    </row>
    <row r="726" ht="14.25" customHeight="1">
      <c r="E726" s="260"/>
      <c r="G726" s="260"/>
      <c r="H726" s="260"/>
      <c r="Y726" s="261"/>
      <c r="AJ726" s="53"/>
    </row>
    <row r="727" ht="14.25" customHeight="1">
      <c r="E727" s="260"/>
      <c r="G727" s="260"/>
      <c r="H727" s="260"/>
      <c r="Y727" s="261"/>
      <c r="AJ727" s="53"/>
    </row>
    <row r="728" ht="14.25" customHeight="1">
      <c r="E728" s="260"/>
      <c r="G728" s="260"/>
      <c r="H728" s="260"/>
      <c r="Y728" s="261"/>
      <c r="AJ728" s="53"/>
    </row>
    <row r="729" ht="14.25" customHeight="1">
      <c r="E729" s="260"/>
      <c r="G729" s="260"/>
      <c r="H729" s="260"/>
      <c r="Y729" s="261"/>
      <c r="AJ729" s="53"/>
    </row>
    <row r="730" ht="14.25" customHeight="1">
      <c r="E730" s="260"/>
      <c r="G730" s="260"/>
      <c r="H730" s="260"/>
      <c r="Y730" s="261"/>
      <c r="AJ730" s="53"/>
    </row>
    <row r="731" ht="14.25" customHeight="1">
      <c r="E731" s="260"/>
      <c r="G731" s="260"/>
      <c r="H731" s="260"/>
      <c r="Y731" s="261"/>
      <c r="AJ731" s="53"/>
    </row>
    <row r="732" ht="14.25" customHeight="1">
      <c r="E732" s="260"/>
      <c r="G732" s="260"/>
      <c r="H732" s="260"/>
      <c r="Y732" s="261"/>
      <c r="AJ732" s="53"/>
    </row>
    <row r="733" ht="14.25" customHeight="1">
      <c r="E733" s="260"/>
      <c r="G733" s="260"/>
      <c r="H733" s="260"/>
      <c r="Y733" s="261"/>
      <c r="AJ733" s="53"/>
    </row>
    <row r="734" ht="14.25" customHeight="1">
      <c r="E734" s="260"/>
      <c r="G734" s="260"/>
      <c r="H734" s="260"/>
      <c r="Y734" s="261"/>
      <c r="AJ734" s="53"/>
    </row>
    <row r="735" ht="14.25" customHeight="1">
      <c r="E735" s="260"/>
      <c r="G735" s="260"/>
      <c r="H735" s="260"/>
      <c r="Y735" s="261"/>
      <c r="AJ735" s="53"/>
    </row>
    <row r="736" ht="14.25" customHeight="1">
      <c r="E736" s="260"/>
      <c r="G736" s="260"/>
      <c r="H736" s="260"/>
      <c r="Y736" s="261"/>
      <c r="AJ736" s="53"/>
    </row>
    <row r="737" ht="14.25" customHeight="1">
      <c r="E737" s="260"/>
      <c r="G737" s="260"/>
      <c r="H737" s="260"/>
      <c r="Y737" s="261"/>
      <c r="AJ737" s="53"/>
    </row>
    <row r="738" ht="14.25" customHeight="1">
      <c r="E738" s="260"/>
      <c r="G738" s="260"/>
      <c r="H738" s="260"/>
      <c r="Y738" s="261"/>
      <c r="AJ738" s="53"/>
    </row>
    <row r="739" ht="14.25" customHeight="1">
      <c r="E739" s="260"/>
      <c r="G739" s="260"/>
      <c r="H739" s="260"/>
      <c r="Y739" s="261"/>
      <c r="AJ739" s="53"/>
    </row>
    <row r="740" ht="14.25" customHeight="1">
      <c r="E740" s="260"/>
      <c r="G740" s="260"/>
      <c r="H740" s="260"/>
      <c r="Y740" s="261"/>
      <c r="AJ740" s="53"/>
    </row>
    <row r="741" ht="14.25" customHeight="1">
      <c r="E741" s="260"/>
      <c r="G741" s="260"/>
      <c r="H741" s="260"/>
      <c r="Y741" s="261"/>
      <c r="AJ741" s="53"/>
    </row>
    <row r="742" ht="14.25" customHeight="1">
      <c r="E742" s="260"/>
      <c r="G742" s="260"/>
      <c r="H742" s="260"/>
      <c r="Y742" s="261"/>
      <c r="AJ742" s="53"/>
    </row>
    <row r="743" ht="14.25" customHeight="1">
      <c r="E743" s="260"/>
      <c r="G743" s="260"/>
      <c r="H743" s="260"/>
      <c r="Y743" s="261"/>
      <c r="AJ743" s="53"/>
    </row>
    <row r="744" ht="14.25" customHeight="1">
      <c r="E744" s="260"/>
      <c r="G744" s="260"/>
      <c r="H744" s="260"/>
      <c r="Y744" s="261"/>
      <c r="AJ744" s="53"/>
    </row>
    <row r="745" ht="14.25" customHeight="1">
      <c r="E745" s="260"/>
      <c r="G745" s="260"/>
      <c r="H745" s="260"/>
      <c r="Y745" s="261"/>
      <c r="AJ745" s="53"/>
    </row>
    <row r="746" ht="14.25" customHeight="1">
      <c r="E746" s="260"/>
      <c r="G746" s="260"/>
      <c r="H746" s="260"/>
      <c r="Y746" s="261"/>
      <c r="AJ746" s="53"/>
    </row>
    <row r="747" ht="14.25" customHeight="1">
      <c r="E747" s="260"/>
      <c r="G747" s="260"/>
      <c r="H747" s="260"/>
      <c r="Y747" s="261"/>
      <c r="AJ747" s="53"/>
    </row>
    <row r="748" ht="14.25" customHeight="1">
      <c r="E748" s="260"/>
      <c r="G748" s="260"/>
      <c r="H748" s="260"/>
      <c r="Y748" s="261"/>
      <c r="AJ748" s="53"/>
    </row>
    <row r="749" ht="14.25" customHeight="1">
      <c r="E749" s="260"/>
      <c r="G749" s="260"/>
      <c r="H749" s="260"/>
      <c r="Y749" s="261"/>
      <c r="AJ749" s="53"/>
    </row>
    <row r="750" ht="14.25" customHeight="1">
      <c r="E750" s="260"/>
      <c r="G750" s="260"/>
      <c r="H750" s="260"/>
      <c r="Y750" s="261"/>
      <c r="AJ750" s="53"/>
    </row>
    <row r="751" ht="14.25" customHeight="1">
      <c r="E751" s="260"/>
      <c r="G751" s="260"/>
      <c r="H751" s="260"/>
      <c r="Y751" s="261"/>
      <c r="AJ751" s="53"/>
    </row>
    <row r="752" ht="14.25" customHeight="1">
      <c r="E752" s="260"/>
      <c r="G752" s="260"/>
      <c r="H752" s="260"/>
      <c r="Y752" s="261"/>
      <c r="AJ752" s="53"/>
    </row>
    <row r="753" ht="14.25" customHeight="1">
      <c r="E753" s="260"/>
      <c r="G753" s="260"/>
      <c r="H753" s="260"/>
      <c r="Y753" s="261"/>
      <c r="AJ753" s="53"/>
    </row>
    <row r="754" ht="14.25" customHeight="1">
      <c r="E754" s="260"/>
      <c r="G754" s="260"/>
      <c r="H754" s="260"/>
      <c r="Y754" s="261"/>
      <c r="AJ754" s="53"/>
    </row>
    <row r="755" ht="14.25" customHeight="1">
      <c r="E755" s="260"/>
      <c r="G755" s="260"/>
      <c r="H755" s="260"/>
      <c r="Y755" s="261"/>
      <c r="AJ755" s="53"/>
    </row>
    <row r="756" ht="14.25" customHeight="1">
      <c r="E756" s="260"/>
      <c r="G756" s="260"/>
      <c r="H756" s="260"/>
      <c r="Y756" s="261"/>
      <c r="AJ756" s="53"/>
    </row>
    <row r="757" ht="14.25" customHeight="1">
      <c r="E757" s="260"/>
      <c r="G757" s="260"/>
      <c r="H757" s="260"/>
      <c r="Y757" s="261"/>
      <c r="AJ757" s="53"/>
    </row>
    <row r="758" ht="14.25" customHeight="1">
      <c r="E758" s="260"/>
      <c r="G758" s="260"/>
      <c r="H758" s="260"/>
      <c r="Y758" s="261"/>
      <c r="AJ758" s="53"/>
    </row>
    <row r="759" ht="14.25" customHeight="1">
      <c r="E759" s="260"/>
      <c r="G759" s="260"/>
      <c r="H759" s="260"/>
      <c r="Y759" s="261"/>
      <c r="AJ759" s="53"/>
    </row>
    <row r="760" ht="14.25" customHeight="1">
      <c r="E760" s="260"/>
      <c r="G760" s="260"/>
      <c r="H760" s="260"/>
      <c r="Y760" s="261"/>
      <c r="AJ760" s="53"/>
    </row>
    <row r="761" ht="14.25" customHeight="1">
      <c r="E761" s="260"/>
      <c r="G761" s="260"/>
      <c r="H761" s="260"/>
      <c r="Y761" s="261"/>
      <c r="AJ761" s="53"/>
    </row>
    <row r="762" ht="14.25" customHeight="1">
      <c r="E762" s="260"/>
      <c r="G762" s="260"/>
      <c r="H762" s="260"/>
      <c r="Y762" s="261"/>
      <c r="AJ762" s="53"/>
    </row>
    <row r="763" ht="14.25" customHeight="1">
      <c r="E763" s="260"/>
      <c r="G763" s="260"/>
      <c r="H763" s="260"/>
      <c r="Y763" s="261"/>
      <c r="AJ763" s="53"/>
    </row>
    <row r="764" ht="14.25" customHeight="1">
      <c r="E764" s="260"/>
      <c r="G764" s="260"/>
      <c r="H764" s="260"/>
      <c r="Y764" s="261"/>
      <c r="AJ764" s="53"/>
    </row>
    <row r="765" ht="14.25" customHeight="1">
      <c r="E765" s="260"/>
      <c r="G765" s="260"/>
      <c r="H765" s="260"/>
      <c r="Y765" s="261"/>
      <c r="AJ765" s="53"/>
    </row>
    <row r="766" ht="14.25" customHeight="1">
      <c r="E766" s="260"/>
      <c r="G766" s="260"/>
      <c r="H766" s="260"/>
      <c r="Y766" s="261"/>
      <c r="AJ766" s="53"/>
    </row>
    <row r="767" ht="14.25" customHeight="1">
      <c r="E767" s="260"/>
      <c r="G767" s="260"/>
      <c r="H767" s="260"/>
      <c r="Y767" s="261"/>
      <c r="AJ767" s="53"/>
    </row>
    <row r="768" ht="14.25" customHeight="1">
      <c r="E768" s="260"/>
      <c r="G768" s="260"/>
      <c r="H768" s="260"/>
      <c r="Y768" s="261"/>
      <c r="AJ768" s="53"/>
    </row>
    <row r="769" ht="14.25" customHeight="1">
      <c r="E769" s="260"/>
      <c r="G769" s="260"/>
      <c r="H769" s="260"/>
      <c r="Y769" s="261"/>
      <c r="AJ769" s="53"/>
    </row>
    <row r="770" ht="14.25" customHeight="1">
      <c r="E770" s="260"/>
      <c r="G770" s="260"/>
      <c r="H770" s="260"/>
      <c r="Y770" s="261"/>
      <c r="AJ770" s="53"/>
    </row>
    <row r="771" ht="14.25" customHeight="1">
      <c r="E771" s="260"/>
      <c r="G771" s="260"/>
      <c r="H771" s="260"/>
      <c r="Y771" s="261"/>
      <c r="AJ771" s="53"/>
    </row>
    <row r="772" ht="14.25" customHeight="1">
      <c r="E772" s="260"/>
      <c r="G772" s="260"/>
      <c r="H772" s="260"/>
      <c r="Y772" s="261"/>
      <c r="AJ772" s="53"/>
    </row>
    <row r="773" ht="14.25" customHeight="1">
      <c r="E773" s="260"/>
      <c r="G773" s="260"/>
      <c r="H773" s="260"/>
      <c r="Y773" s="261"/>
      <c r="AJ773" s="53"/>
    </row>
    <row r="774" ht="14.25" customHeight="1">
      <c r="E774" s="260"/>
      <c r="G774" s="260"/>
      <c r="H774" s="260"/>
      <c r="Y774" s="261"/>
      <c r="AJ774" s="53"/>
    </row>
    <row r="775" ht="14.25" customHeight="1">
      <c r="E775" s="260"/>
      <c r="G775" s="260"/>
      <c r="H775" s="260"/>
      <c r="Y775" s="261"/>
      <c r="AJ775" s="53"/>
    </row>
    <row r="776" ht="14.25" customHeight="1">
      <c r="E776" s="260"/>
      <c r="G776" s="260"/>
      <c r="H776" s="260"/>
      <c r="Y776" s="261"/>
      <c r="AJ776" s="53"/>
    </row>
    <row r="777" ht="14.25" customHeight="1">
      <c r="E777" s="260"/>
      <c r="G777" s="260"/>
      <c r="H777" s="260"/>
      <c r="Y777" s="261"/>
      <c r="AJ777" s="53"/>
    </row>
    <row r="778" ht="14.25" customHeight="1">
      <c r="E778" s="260"/>
      <c r="G778" s="260"/>
      <c r="H778" s="260"/>
      <c r="Y778" s="261"/>
      <c r="AJ778" s="53"/>
    </row>
    <row r="779" ht="14.25" customHeight="1">
      <c r="E779" s="260"/>
      <c r="G779" s="260"/>
      <c r="H779" s="260"/>
      <c r="Y779" s="261"/>
      <c r="AJ779" s="53"/>
    </row>
    <row r="780" ht="14.25" customHeight="1">
      <c r="E780" s="260"/>
      <c r="G780" s="260"/>
      <c r="H780" s="260"/>
      <c r="Y780" s="261"/>
      <c r="AJ780" s="53"/>
    </row>
    <row r="781" ht="14.25" customHeight="1">
      <c r="E781" s="260"/>
      <c r="G781" s="260"/>
      <c r="H781" s="260"/>
      <c r="Y781" s="261"/>
      <c r="AJ781" s="53"/>
    </row>
    <row r="782" ht="14.25" customHeight="1">
      <c r="E782" s="260"/>
      <c r="G782" s="260"/>
      <c r="H782" s="260"/>
      <c r="Y782" s="261"/>
      <c r="AJ782" s="53"/>
    </row>
    <row r="783" ht="14.25" customHeight="1">
      <c r="E783" s="260"/>
      <c r="G783" s="260"/>
      <c r="H783" s="260"/>
      <c r="Y783" s="261"/>
      <c r="AJ783" s="53"/>
    </row>
    <row r="784" ht="14.25" customHeight="1">
      <c r="E784" s="260"/>
      <c r="G784" s="260"/>
      <c r="H784" s="260"/>
      <c r="Y784" s="261"/>
      <c r="AJ784" s="53"/>
    </row>
    <row r="785" ht="14.25" customHeight="1">
      <c r="E785" s="260"/>
      <c r="G785" s="260"/>
      <c r="H785" s="260"/>
      <c r="Y785" s="261"/>
      <c r="AJ785" s="53"/>
    </row>
    <row r="786" ht="14.25" customHeight="1">
      <c r="E786" s="260"/>
      <c r="G786" s="260"/>
      <c r="H786" s="260"/>
      <c r="Y786" s="261"/>
      <c r="AJ786" s="53"/>
    </row>
    <row r="787" ht="14.25" customHeight="1">
      <c r="E787" s="260"/>
      <c r="G787" s="260"/>
      <c r="H787" s="260"/>
      <c r="Y787" s="261"/>
      <c r="AJ787" s="53"/>
    </row>
    <row r="788" ht="14.25" customHeight="1">
      <c r="E788" s="260"/>
      <c r="G788" s="260"/>
      <c r="H788" s="260"/>
      <c r="Y788" s="261"/>
      <c r="AJ788" s="53"/>
    </row>
    <row r="789" ht="14.25" customHeight="1">
      <c r="E789" s="260"/>
      <c r="G789" s="260"/>
      <c r="H789" s="260"/>
      <c r="Y789" s="261"/>
      <c r="AJ789" s="53"/>
    </row>
    <row r="790" ht="14.25" customHeight="1">
      <c r="E790" s="260"/>
      <c r="G790" s="260"/>
      <c r="H790" s="260"/>
      <c r="Y790" s="261"/>
      <c r="AJ790" s="53"/>
    </row>
    <row r="791" ht="14.25" customHeight="1">
      <c r="E791" s="260"/>
      <c r="G791" s="260"/>
      <c r="H791" s="260"/>
      <c r="Y791" s="261"/>
      <c r="AJ791" s="53"/>
    </row>
    <row r="792" ht="14.25" customHeight="1">
      <c r="E792" s="260"/>
      <c r="G792" s="260"/>
      <c r="H792" s="260"/>
      <c r="Y792" s="261"/>
      <c r="AJ792" s="53"/>
    </row>
    <row r="793" ht="14.25" customHeight="1">
      <c r="E793" s="260"/>
      <c r="G793" s="260"/>
      <c r="H793" s="260"/>
      <c r="Y793" s="261"/>
      <c r="AJ793" s="53"/>
    </row>
    <row r="794" ht="14.25" customHeight="1">
      <c r="E794" s="260"/>
      <c r="G794" s="260"/>
      <c r="H794" s="260"/>
      <c r="Y794" s="261"/>
      <c r="AJ794" s="53"/>
    </row>
    <row r="795" ht="14.25" customHeight="1">
      <c r="E795" s="260"/>
      <c r="G795" s="260"/>
      <c r="H795" s="260"/>
      <c r="Y795" s="261"/>
      <c r="AJ795" s="53"/>
    </row>
    <row r="796" ht="14.25" customHeight="1">
      <c r="E796" s="260"/>
      <c r="G796" s="260"/>
      <c r="H796" s="260"/>
      <c r="Y796" s="261"/>
      <c r="AJ796" s="53"/>
    </row>
    <row r="797" ht="14.25" customHeight="1">
      <c r="E797" s="260"/>
      <c r="G797" s="260"/>
      <c r="H797" s="260"/>
      <c r="Y797" s="261"/>
      <c r="AJ797" s="53"/>
    </row>
    <row r="798" ht="14.25" customHeight="1">
      <c r="E798" s="260"/>
      <c r="G798" s="260"/>
      <c r="H798" s="260"/>
      <c r="Y798" s="261"/>
      <c r="AJ798" s="53"/>
    </row>
    <row r="799" ht="14.25" customHeight="1">
      <c r="E799" s="260"/>
      <c r="G799" s="260"/>
      <c r="H799" s="260"/>
      <c r="Y799" s="261"/>
      <c r="AJ799" s="53"/>
    </row>
    <row r="800" ht="14.25" customHeight="1">
      <c r="E800" s="260"/>
      <c r="G800" s="260"/>
      <c r="H800" s="260"/>
      <c r="Y800" s="261"/>
      <c r="AJ800" s="53"/>
    </row>
    <row r="801" ht="14.25" customHeight="1">
      <c r="E801" s="260"/>
      <c r="G801" s="260"/>
      <c r="H801" s="260"/>
      <c r="Y801" s="261"/>
      <c r="AJ801" s="53"/>
    </row>
    <row r="802" ht="14.25" customHeight="1">
      <c r="E802" s="260"/>
      <c r="G802" s="260"/>
      <c r="H802" s="260"/>
      <c r="Y802" s="261"/>
      <c r="AJ802" s="53"/>
    </row>
    <row r="803" ht="14.25" customHeight="1">
      <c r="E803" s="260"/>
      <c r="G803" s="260"/>
      <c r="H803" s="260"/>
      <c r="Y803" s="261"/>
      <c r="AJ803" s="53"/>
    </row>
    <row r="804" ht="14.25" customHeight="1">
      <c r="E804" s="260"/>
      <c r="G804" s="260"/>
      <c r="H804" s="260"/>
      <c r="Y804" s="261"/>
      <c r="AJ804" s="53"/>
    </row>
    <row r="805" ht="14.25" customHeight="1">
      <c r="E805" s="260"/>
      <c r="G805" s="260"/>
      <c r="H805" s="260"/>
      <c r="Y805" s="261"/>
      <c r="AJ805" s="53"/>
    </row>
    <row r="806" ht="14.25" customHeight="1">
      <c r="E806" s="260"/>
      <c r="G806" s="260"/>
      <c r="H806" s="260"/>
      <c r="Y806" s="261"/>
      <c r="AJ806" s="53"/>
    </row>
    <row r="807" ht="14.25" customHeight="1">
      <c r="E807" s="260"/>
      <c r="G807" s="260"/>
      <c r="H807" s="260"/>
      <c r="Y807" s="261"/>
      <c r="AJ807" s="53"/>
    </row>
    <row r="808" ht="14.25" customHeight="1">
      <c r="E808" s="260"/>
      <c r="G808" s="260"/>
      <c r="H808" s="260"/>
      <c r="Y808" s="261"/>
      <c r="AJ808" s="53"/>
    </row>
    <row r="809" ht="14.25" customHeight="1">
      <c r="E809" s="260"/>
      <c r="G809" s="260"/>
      <c r="H809" s="260"/>
      <c r="Y809" s="261"/>
      <c r="AJ809" s="53"/>
    </row>
    <row r="810" ht="14.25" customHeight="1">
      <c r="E810" s="260"/>
      <c r="G810" s="260"/>
      <c r="H810" s="260"/>
      <c r="Y810" s="261"/>
      <c r="AJ810" s="53"/>
    </row>
    <row r="811" ht="14.25" customHeight="1">
      <c r="E811" s="260"/>
      <c r="G811" s="260"/>
      <c r="H811" s="260"/>
      <c r="Y811" s="261"/>
      <c r="AJ811" s="53"/>
    </row>
    <row r="812" ht="14.25" customHeight="1">
      <c r="E812" s="260"/>
      <c r="G812" s="260"/>
      <c r="H812" s="260"/>
      <c r="Y812" s="261"/>
      <c r="AJ812" s="53"/>
    </row>
    <row r="813" ht="14.25" customHeight="1">
      <c r="E813" s="260"/>
      <c r="G813" s="260"/>
      <c r="H813" s="260"/>
      <c r="Y813" s="261"/>
      <c r="AJ813" s="53"/>
    </row>
    <row r="814" ht="14.25" customHeight="1">
      <c r="E814" s="260"/>
      <c r="G814" s="260"/>
      <c r="H814" s="260"/>
      <c r="Y814" s="261"/>
      <c r="AJ814" s="53"/>
    </row>
    <row r="815" ht="14.25" customHeight="1">
      <c r="E815" s="260"/>
      <c r="G815" s="260"/>
      <c r="H815" s="260"/>
      <c r="Y815" s="261"/>
      <c r="AJ815" s="53"/>
    </row>
    <row r="816" ht="14.25" customHeight="1">
      <c r="E816" s="260"/>
      <c r="G816" s="260"/>
      <c r="H816" s="260"/>
      <c r="Y816" s="261"/>
      <c r="AJ816" s="53"/>
    </row>
    <row r="817" ht="14.25" customHeight="1">
      <c r="E817" s="260"/>
      <c r="G817" s="260"/>
      <c r="H817" s="260"/>
      <c r="Y817" s="261"/>
      <c r="AJ817" s="53"/>
    </row>
    <row r="818" ht="14.25" customHeight="1">
      <c r="E818" s="260"/>
      <c r="G818" s="260"/>
      <c r="H818" s="260"/>
      <c r="Y818" s="261"/>
      <c r="AJ818" s="53"/>
    </row>
    <row r="819" ht="14.25" customHeight="1">
      <c r="E819" s="260"/>
      <c r="G819" s="260"/>
      <c r="H819" s="260"/>
      <c r="Y819" s="261"/>
      <c r="AJ819" s="53"/>
    </row>
    <row r="820" ht="14.25" customHeight="1">
      <c r="E820" s="260"/>
      <c r="G820" s="260"/>
      <c r="H820" s="260"/>
      <c r="Y820" s="261"/>
      <c r="AJ820" s="53"/>
    </row>
    <row r="821" ht="14.25" customHeight="1">
      <c r="E821" s="260"/>
      <c r="G821" s="260"/>
      <c r="H821" s="260"/>
      <c r="Y821" s="261"/>
      <c r="AJ821" s="53"/>
    </row>
    <row r="822" ht="14.25" customHeight="1">
      <c r="E822" s="260"/>
      <c r="G822" s="260"/>
      <c r="H822" s="260"/>
      <c r="Y822" s="261"/>
      <c r="AJ822" s="53"/>
    </row>
    <row r="823" ht="14.25" customHeight="1">
      <c r="E823" s="260"/>
      <c r="G823" s="260"/>
      <c r="H823" s="260"/>
      <c r="Y823" s="261"/>
      <c r="AJ823" s="53"/>
    </row>
    <row r="824" ht="14.25" customHeight="1">
      <c r="E824" s="260"/>
      <c r="G824" s="260"/>
      <c r="H824" s="260"/>
      <c r="Y824" s="261"/>
      <c r="AJ824" s="53"/>
    </row>
    <row r="825" ht="14.25" customHeight="1">
      <c r="E825" s="260"/>
      <c r="G825" s="260"/>
      <c r="H825" s="260"/>
      <c r="Y825" s="261"/>
      <c r="AJ825" s="53"/>
    </row>
    <row r="826" ht="14.25" customHeight="1">
      <c r="E826" s="260"/>
      <c r="G826" s="260"/>
      <c r="H826" s="260"/>
      <c r="Y826" s="261"/>
      <c r="AJ826" s="53"/>
    </row>
    <row r="827" ht="14.25" customHeight="1">
      <c r="E827" s="260"/>
      <c r="G827" s="260"/>
      <c r="H827" s="260"/>
      <c r="Y827" s="261"/>
      <c r="AJ827" s="53"/>
    </row>
    <row r="828" ht="14.25" customHeight="1">
      <c r="E828" s="260"/>
      <c r="G828" s="260"/>
      <c r="H828" s="260"/>
      <c r="Y828" s="261"/>
      <c r="AJ828" s="53"/>
    </row>
    <row r="829" ht="14.25" customHeight="1">
      <c r="E829" s="260"/>
      <c r="G829" s="260"/>
      <c r="H829" s="260"/>
      <c r="Y829" s="261"/>
      <c r="AJ829" s="53"/>
    </row>
    <row r="830" ht="14.25" customHeight="1">
      <c r="E830" s="260"/>
      <c r="G830" s="260"/>
      <c r="H830" s="260"/>
      <c r="Y830" s="261"/>
      <c r="AJ830" s="53"/>
    </row>
    <row r="831" ht="14.25" customHeight="1">
      <c r="E831" s="260"/>
      <c r="G831" s="260"/>
      <c r="H831" s="260"/>
      <c r="Y831" s="261"/>
      <c r="AJ831" s="53"/>
    </row>
    <row r="832" ht="14.25" customHeight="1">
      <c r="E832" s="260"/>
      <c r="G832" s="260"/>
      <c r="H832" s="260"/>
      <c r="Y832" s="261"/>
      <c r="AJ832" s="53"/>
    </row>
    <row r="833" ht="14.25" customHeight="1">
      <c r="E833" s="260"/>
      <c r="G833" s="260"/>
      <c r="H833" s="260"/>
      <c r="Y833" s="261"/>
      <c r="AJ833" s="53"/>
    </row>
    <row r="834" ht="14.25" customHeight="1">
      <c r="E834" s="260"/>
      <c r="G834" s="260"/>
      <c r="H834" s="260"/>
      <c r="Y834" s="261"/>
      <c r="AJ834" s="53"/>
    </row>
    <row r="835" ht="14.25" customHeight="1">
      <c r="E835" s="260"/>
      <c r="G835" s="260"/>
      <c r="H835" s="260"/>
      <c r="Y835" s="261"/>
      <c r="AJ835" s="53"/>
    </row>
    <row r="836" ht="14.25" customHeight="1">
      <c r="E836" s="260"/>
      <c r="G836" s="260"/>
      <c r="H836" s="260"/>
      <c r="Y836" s="261"/>
      <c r="AJ836" s="53"/>
    </row>
    <row r="837" ht="14.25" customHeight="1">
      <c r="E837" s="260"/>
      <c r="G837" s="260"/>
      <c r="H837" s="260"/>
      <c r="Y837" s="261"/>
      <c r="AJ837" s="53"/>
    </row>
    <row r="838" ht="14.25" customHeight="1">
      <c r="E838" s="260"/>
      <c r="G838" s="260"/>
      <c r="H838" s="260"/>
      <c r="Y838" s="261"/>
      <c r="AJ838" s="53"/>
    </row>
    <row r="839" ht="14.25" customHeight="1">
      <c r="E839" s="260"/>
      <c r="G839" s="260"/>
      <c r="H839" s="260"/>
      <c r="Y839" s="261"/>
      <c r="AJ839" s="53"/>
    </row>
    <row r="840" ht="14.25" customHeight="1">
      <c r="E840" s="260"/>
      <c r="G840" s="260"/>
      <c r="H840" s="260"/>
      <c r="Y840" s="261"/>
      <c r="AJ840" s="53"/>
    </row>
    <row r="841" ht="14.25" customHeight="1">
      <c r="E841" s="260"/>
      <c r="G841" s="260"/>
      <c r="H841" s="260"/>
      <c r="Y841" s="261"/>
      <c r="AJ841" s="53"/>
    </row>
    <row r="842" ht="14.25" customHeight="1">
      <c r="E842" s="260"/>
      <c r="G842" s="260"/>
      <c r="H842" s="260"/>
      <c r="Y842" s="261"/>
      <c r="AJ842" s="53"/>
    </row>
    <row r="843" ht="14.25" customHeight="1">
      <c r="E843" s="260"/>
      <c r="G843" s="260"/>
      <c r="H843" s="260"/>
      <c r="Y843" s="261"/>
      <c r="AJ843" s="53"/>
    </row>
    <row r="844" ht="14.25" customHeight="1">
      <c r="E844" s="260"/>
      <c r="G844" s="260"/>
      <c r="H844" s="260"/>
      <c r="Y844" s="261"/>
      <c r="AJ844" s="53"/>
    </row>
    <row r="845" ht="14.25" customHeight="1">
      <c r="E845" s="260"/>
      <c r="G845" s="260"/>
      <c r="H845" s="260"/>
      <c r="Y845" s="261"/>
      <c r="AJ845" s="53"/>
    </row>
    <row r="846" ht="14.25" customHeight="1">
      <c r="E846" s="260"/>
      <c r="G846" s="260"/>
      <c r="H846" s="260"/>
      <c r="Y846" s="261"/>
      <c r="AJ846" s="53"/>
    </row>
    <row r="847" ht="14.25" customHeight="1">
      <c r="E847" s="260"/>
      <c r="G847" s="260"/>
      <c r="H847" s="260"/>
      <c r="Y847" s="261"/>
      <c r="AJ847" s="53"/>
    </row>
    <row r="848" ht="14.25" customHeight="1">
      <c r="E848" s="260"/>
      <c r="G848" s="260"/>
      <c r="H848" s="260"/>
      <c r="Y848" s="261"/>
      <c r="AJ848" s="53"/>
    </row>
    <row r="849" ht="14.25" customHeight="1">
      <c r="E849" s="260"/>
      <c r="G849" s="260"/>
      <c r="H849" s="260"/>
      <c r="Y849" s="261"/>
      <c r="AJ849" s="53"/>
    </row>
    <row r="850" ht="14.25" customHeight="1">
      <c r="E850" s="260"/>
      <c r="G850" s="260"/>
      <c r="H850" s="260"/>
      <c r="Y850" s="261"/>
      <c r="AJ850" s="53"/>
    </row>
    <row r="851" ht="14.25" customHeight="1">
      <c r="E851" s="260"/>
      <c r="G851" s="260"/>
      <c r="H851" s="260"/>
      <c r="Y851" s="261"/>
      <c r="AJ851" s="53"/>
    </row>
    <row r="852" ht="14.25" customHeight="1">
      <c r="E852" s="260"/>
      <c r="G852" s="260"/>
      <c r="H852" s="260"/>
      <c r="Y852" s="261"/>
      <c r="AJ852" s="53"/>
    </row>
    <row r="853" ht="14.25" customHeight="1">
      <c r="E853" s="260"/>
      <c r="G853" s="260"/>
      <c r="H853" s="260"/>
      <c r="Y853" s="261"/>
      <c r="AJ853" s="53"/>
    </row>
    <row r="854" ht="14.25" customHeight="1">
      <c r="E854" s="260"/>
      <c r="G854" s="260"/>
      <c r="H854" s="260"/>
      <c r="Y854" s="261"/>
      <c r="AJ854" s="53"/>
    </row>
    <row r="855" ht="14.25" customHeight="1">
      <c r="E855" s="260"/>
      <c r="G855" s="260"/>
      <c r="H855" s="260"/>
      <c r="Y855" s="261"/>
      <c r="AJ855" s="53"/>
    </row>
    <row r="856" ht="14.25" customHeight="1">
      <c r="E856" s="260"/>
      <c r="G856" s="260"/>
      <c r="H856" s="260"/>
      <c r="Y856" s="261"/>
      <c r="AJ856" s="53"/>
    </row>
    <row r="857" ht="14.25" customHeight="1">
      <c r="E857" s="260"/>
      <c r="G857" s="260"/>
      <c r="H857" s="260"/>
      <c r="Y857" s="261"/>
      <c r="AJ857" s="53"/>
    </row>
    <row r="858" ht="14.25" customHeight="1">
      <c r="E858" s="260"/>
      <c r="G858" s="260"/>
      <c r="H858" s="260"/>
      <c r="Y858" s="261"/>
      <c r="AJ858" s="53"/>
    </row>
    <row r="859" ht="14.25" customHeight="1">
      <c r="E859" s="260"/>
      <c r="G859" s="260"/>
      <c r="H859" s="260"/>
      <c r="Y859" s="261"/>
      <c r="AJ859" s="53"/>
    </row>
    <row r="860" ht="14.25" customHeight="1">
      <c r="E860" s="260"/>
      <c r="G860" s="260"/>
      <c r="H860" s="260"/>
      <c r="Y860" s="261"/>
      <c r="AJ860" s="53"/>
    </row>
    <row r="861" ht="14.25" customHeight="1">
      <c r="E861" s="260"/>
      <c r="G861" s="260"/>
      <c r="H861" s="260"/>
      <c r="Y861" s="261"/>
      <c r="AJ861" s="53"/>
    </row>
    <row r="862" ht="14.25" customHeight="1">
      <c r="E862" s="260"/>
      <c r="G862" s="260"/>
      <c r="H862" s="260"/>
      <c r="Y862" s="261"/>
      <c r="AJ862" s="53"/>
    </row>
    <row r="863" ht="14.25" customHeight="1">
      <c r="E863" s="260"/>
      <c r="G863" s="260"/>
      <c r="H863" s="260"/>
      <c r="Y863" s="261"/>
      <c r="AJ863" s="53"/>
    </row>
    <row r="864" ht="14.25" customHeight="1">
      <c r="E864" s="260"/>
      <c r="G864" s="260"/>
      <c r="H864" s="260"/>
      <c r="Y864" s="261"/>
      <c r="AJ864" s="53"/>
    </row>
    <row r="865" ht="14.25" customHeight="1">
      <c r="E865" s="260"/>
      <c r="G865" s="260"/>
      <c r="H865" s="260"/>
      <c r="Y865" s="261"/>
      <c r="AJ865" s="53"/>
    </row>
    <row r="866" ht="14.25" customHeight="1">
      <c r="E866" s="260"/>
      <c r="G866" s="260"/>
      <c r="H866" s="260"/>
      <c r="Y866" s="261"/>
      <c r="AJ866" s="53"/>
    </row>
    <row r="867" ht="14.25" customHeight="1">
      <c r="E867" s="260"/>
      <c r="G867" s="260"/>
      <c r="H867" s="260"/>
      <c r="Y867" s="261"/>
      <c r="AJ867" s="53"/>
    </row>
    <row r="868" ht="14.25" customHeight="1">
      <c r="E868" s="260"/>
      <c r="G868" s="260"/>
      <c r="H868" s="260"/>
      <c r="Y868" s="261"/>
      <c r="AJ868" s="53"/>
    </row>
    <row r="869" ht="14.25" customHeight="1">
      <c r="E869" s="260"/>
      <c r="G869" s="260"/>
      <c r="H869" s="260"/>
      <c r="Y869" s="261"/>
      <c r="AJ869" s="53"/>
    </row>
    <row r="870" ht="14.25" customHeight="1">
      <c r="E870" s="260"/>
      <c r="G870" s="260"/>
      <c r="H870" s="260"/>
      <c r="Y870" s="261"/>
      <c r="AJ870" s="53"/>
    </row>
    <row r="871" ht="14.25" customHeight="1">
      <c r="E871" s="260"/>
      <c r="G871" s="260"/>
      <c r="H871" s="260"/>
      <c r="Y871" s="261"/>
      <c r="AJ871" s="53"/>
    </row>
    <row r="872" ht="14.25" customHeight="1">
      <c r="E872" s="260"/>
      <c r="G872" s="260"/>
      <c r="H872" s="260"/>
      <c r="Y872" s="261"/>
      <c r="AJ872" s="53"/>
    </row>
    <row r="873" ht="14.25" customHeight="1">
      <c r="E873" s="260"/>
      <c r="G873" s="260"/>
      <c r="H873" s="260"/>
      <c r="Y873" s="261"/>
      <c r="AJ873" s="53"/>
    </row>
    <row r="874" ht="14.25" customHeight="1">
      <c r="E874" s="260"/>
      <c r="G874" s="260"/>
      <c r="H874" s="260"/>
      <c r="Y874" s="261"/>
      <c r="AJ874" s="53"/>
    </row>
    <row r="875" ht="14.25" customHeight="1">
      <c r="E875" s="260"/>
      <c r="G875" s="260"/>
      <c r="H875" s="260"/>
      <c r="Y875" s="261"/>
      <c r="AJ875" s="53"/>
    </row>
    <row r="876" ht="14.25" customHeight="1">
      <c r="E876" s="260"/>
      <c r="G876" s="260"/>
      <c r="H876" s="260"/>
      <c r="Y876" s="261"/>
      <c r="AJ876" s="53"/>
    </row>
    <row r="877" ht="14.25" customHeight="1">
      <c r="E877" s="260"/>
      <c r="G877" s="260"/>
      <c r="H877" s="260"/>
      <c r="Y877" s="261"/>
      <c r="AJ877" s="53"/>
    </row>
    <row r="878" ht="14.25" customHeight="1">
      <c r="E878" s="260"/>
      <c r="G878" s="260"/>
      <c r="H878" s="260"/>
      <c r="Y878" s="261"/>
      <c r="AJ878" s="53"/>
    </row>
    <row r="879" ht="14.25" customHeight="1">
      <c r="E879" s="260"/>
      <c r="G879" s="260"/>
      <c r="H879" s="260"/>
      <c r="Y879" s="261"/>
      <c r="AJ879" s="53"/>
    </row>
    <row r="880" ht="14.25" customHeight="1">
      <c r="E880" s="260"/>
      <c r="G880" s="260"/>
      <c r="H880" s="260"/>
      <c r="Y880" s="261"/>
      <c r="AJ880" s="53"/>
    </row>
    <row r="881" ht="14.25" customHeight="1">
      <c r="E881" s="260"/>
      <c r="G881" s="260"/>
      <c r="H881" s="260"/>
      <c r="Y881" s="261"/>
      <c r="AJ881" s="53"/>
    </row>
    <row r="882" ht="14.25" customHeight="1">
      <c r="E882" s="260"/>
      <c r="G882" s="260"/>
      <c r="H882" s="260"/>
      <c r="Y882" s="261"/>
      <c r="AJ882" s="53"/>
    </row>
    <row r="883" ht="14.25" customHeight="1">
      <c r="E883" s="260"/>
      <c r="G883" s="260"/>
      <c r="H883" s="260"/>
      <c r="Y883" s="261"/>
      <c r="AJ883" s="53"/>
    </row>
    <row r="884" ht="14.25" customHeight="1">
      <c r="E884" s="260"/>
      <c r="G884" s="260"/>
      <c r="H884" s="260"/>
      <c r="Y884" s="261"/>
      <c r="AJ884" s="53"/>
    </row>
    <row r="885" ht="14.25" customHeight="1">
      <c r="E885" s="260"/>
      <c r="G885" s="260"/>
      <c r="H885" s="260"/>
      <c r="Y885" s="261"/>
      <c r="AJ885" s="53"/>
    </row>
    <row r="886" ht="14.25" customHeight="1">
      <c r="E886" s="260"/>
      <c r="G886" s="260"/>
      <c r="H886" s="260"/>
      <c r="Y886" s="261"/>
      <c r="AJ886" s="53"/>
    </row>
    <row r="887" ht="14.25" customHeight="1">
      <c r="E887" s="260"/>
      <c r="G887" s="260"/>
      <c r="H887" s="260"/>
      <c r="Y887" s="261"/>
      <c r="AJ887" s="53"/>
    </row>
    <row r="888" ht="14.25" customHeight="1">
      <c r="E888" s="260"/>
      <c r="G888" s="260"/>
      <c r="H888" s="260"/>
      <c r="Y888" s="261"/>
      <c r="AJ888" s="53"/>
    </row>
    <row r="889" ht="14.25" customHeight="1">
      <c r="E889" s="260"/>
      <c r="G889" s="260"/>
      <c r="H889" s="260"/>
      <c r="Y889" s="261"/>
      <c r="AJ889" s="53"/>
    </row>
    <row r="890" ht="14.25" customHeight="1">
      <c r="E890" s="260"/>
      <c r="G890" s="260"/>
      <c r="H890" s="260"/>
      <c r="Y890" s="261"/>
      <c r="AJ890" s="53"/>
    </row>
    <row r="891" ht="14.25" customHeight="1">
      <c r="E891" s="260"/>
      <c r="G891" s="260"/>
      <c r="H891" s="260"/>
      <c r="Y891" s="261"/>
      <c r="AJ891" s="53"/>
    </row>
    <row r="892" ht="14.25" customHeight="1">
      <c r="E892" s="260"/>
      <c r="G892" s="260"/>
      <c r="H892" s="260"/>
      <c r="Y892" s="261"/>
      <c r="AJ892" s="53"/>
    </row>
    <row r="893" ht="14.25" customHeight="1">
      <c r="E893" s="260"/>
      <c r="G893" s="260"/>
      <c r="H893" s="260"/>
      <c r="Y893" s="261"/>
      <c r="AJ893" s="53"/>
    </row>
    <row r="894" ht="14.25" customHeight="1">
      <c r="E894" s="260"/>
      <c r="G894" s="260"/>
      <c r="H894" s="260"/>
      <c r="Y894" s="261"/>
      <c r="AJ894" s="53"/>
    </row>
    <row r="895" ht="14.25" customHeight="1">
      <c r="E895" s="260"/>
      <c r="G895" s="260"/>
      <c r="H895" s="260"/>
      <c r="Y895" s="261"/>
      <c r="AJ895" s="53"/>
    </row>
    <row r="896" ht="14.25" customHeight="1">
      <c r="E896" s="260"/>
      <c r="G896" s="260"/>
      <c r="H896" s="260"/>
      <c r="Y896" s="261"/>
      <c r="AJ896" s="53"/>
    </row>
    <row r="897" ht="14.25" customHeight="1">
      <c r="E897" s="260"/>
      <c r="G897" s="260"/>
      <c r="H897" s="260"/>
      <c r="Y897" s="261"/>
      <c r="AJ897" s="53"/>
    </row>
    <row r="898" ht="14.25" customHeight="1">
      <c r="E898" s="260"/>
      <c r="G898" s="260"/>
      <c r="H898" s="260"/>
      <c r="Y898" s="261"/>
      <c r="AJ898" s="53"/>
    </row>
    <row r="899" ht="14.25" customHeight="1">
      <c r="E899" s="260"/>
      <c r="G899" s="260"/>
      <c r="H899" s="260"/>
      <c r="Y899" s="261"/>
      <c r="AJ899" s="53"/>
    </row>
    <row r="900" ht="14.25" customHeight="1">
      <c r="E900" s="260"/>
      <c r="G900" s="260"/>
      <c r="H900" s="260"/>
      <c r="Y900" s="261"/>
      <c r="AJ900" s="53"/>
    </row>
    <row r="901" ht="14.25" customHeight="1">
      <c r="E901" s="260"/>
      <c r="G901" s="260"/>
      <c r="H901" s="260"/>
      <c r="Y901" s="261"/>
      <c r="AJ901" s="53"/>
    </row>
    <row r="902" ht="14.25" customHeight="1">
      <c r="E902" s="260"/>
      <c r="G902" s="260"/>
      <c r="H902" s="260"/>
      <c r="Y902" s="261"/>
      <c r="AJ902" s="53"/>
    </row>
    <row r="903" ht="14.25" customHeight="1">
      <c r="E903" s="260"/>
      <c r="G903" s="260"/>
      <c r="H903" s="260"/>
      <c r="Y903" s="261"/>
      <c r="AJ903" s="53"/>
    </row>
    <row r="904" ht="14.25" customHeight="1">
      <c r="E904" s="260"/>
      <c r="G904" s="260"/>
      <c r="H904" s="260"/>
      <c r="Y904" s="261"/>
      <c r="AJ904" s="53"/>
    </row>
    <row r="905" ht="14.25" customHeight="1">
      <c r="E905" s="260"/>
      <c r="G905" s="260"/>
      <c r="H905" s="260"/>
      <c r="Y905" s="261"/>
      <c r="AJ905" s="53"/>
    </row>
    <row r="906" ht="14.25" customHeight="1">
      <c r="E906" s="260"/>
      <c r="G906" s="260"/>
      <c r="H906" s="260"/>
      <c r="Y906" s="261"/>
      <c r="AJ906" s="53"/>
    </row>
    <row r="907" ht="14.25" customHeight="1">
      <c r="E907" s="260"/>
      <c r="G907" s="260"/>
      <c r="H907" s="260"/>
      <c r="Y907" s="261"/>
      <c r="AJ907" s="53"/>
    </row>
    <row r="908" ht="14.25" customHeight="1">
      <c r="E908" s="260"/>
      <c r="G908" s="260"/>
      <c r="H908" s="260"/>
      <c r="Y908" s="261"/>
      <c r="AJ908" s="53"/>
    </row>
    <row r="909" ht="14.25" customHeight="1">
      <c r="E909" s="260"/>
      <c r="G909" s="260"/>
      <c r="H909" s="260"/>
      <c r="Y909" s="261"/>
      <c r="AJ909" s="53"/>
    </row>
    <row r="910" ht="14.25" customHeight="1">
      <c r="E910" s="260"/>
      <c r="G910" s="260"/>
      <c r="H910" s="260"/>
      <c r="Y910" s="261"/>
      <c r="AJ910" s="53"/>
    </row>
    <row r="911" ht="14.25" customHeight="1">
      <c r="E911" s="260"/>
      <c r="G911" s="260"/>
      <c r="H911" s="260"/>
      <c r="Y911" s="261"/>
      <c r="AJ911" s="53"/>
    </row>
    <row r="912" ht="14.25" customHeight="1">
      <c r="E912" s="260"/>
      <c r="G912" s="260"/>
      <c r="H912" s="260"/>
      <c r="Y912" s="261"/>
      <c r="AJ912" s="53"/>
    </row>
    <row r="913" ht="14.25" customHeight="1">
      <c r="E913" s="260"/>
      <c r="G913" s="260"/>
      <c r="H913" s="260"/>
      <c r="Y913" s="261"/>
      <c r="AJ913" s="53"/>
    </row>
    <row r="914" ht="14.25" customHeight="1">
      <c r="E914" s="260"/>
      <c r="G914" s="260"/>
      <c r="H914" s="260"/>
      <c r="Y914" s="261"/>
      <c r="AJ914" s="53"/>
    </row>
    <row r="915" ht="14.25" customHeight="1">
      <c r="E915" s="260"/>
      <c r="G915" s="260"/>
      <c r="H915" s="260"/>
      <c r="Y915" s="261"/>
      <c r="AJ915" s="53"/>
    </row>
    <row r="916" ht="14.25" customHeight="1">
      <c r="E916" s="260"/>
      <c r="G916" s="260"/>
      <c r="H916" s="260"/>
      <c r="Y916" s="261"/>
      <c r="AJ916" s="53"/>
    </row>
    <row r="917" ht="14.25" customHeight="1">
      <c r="E917" s="260"/>
      <c r="G917" s="260"/>
      <c r="H917" s="260"/>
      <c r="Y917" s="261"/>
      <c r="AJ917" s="53"/>
    </row>
    <row r="918" ht="14.25" customHeight="1">
      <c r="E918" s="260"/>
      <c r="G918" s="260"/>
      <c r="H918" s="260"/>
      <c r="Y918" s="261"/>
      <c r="AJ918" s="53"/>
    </row>
    <row r="919" ht="14.25" customHeight="1">
      <c r="E919" s="260"/>
      <c r="G919" s="260"/>
      <c r="H919" s="260"/>
      <c r="Y919" s="261"/>
      <c r="AJ919" s="53"/>
    </row>
    <row r="920" ht="14.25" customHeight="1">
      <c r="E920" s="260"/>
      <c r="G920" s="260"/>
      <c r="H920" s="260"/>
      <c r="Y920" s="261"/>
      <c r="AJ920" s="53"/>
    </row>
    <row r="921" ht="14.25" customHeight="1">
      <c r="E921" s="260"/>
      <c r="G921" s="260"/>
      <c r="H921" s="260"/>
      <c r="Y921" s="261"/>
      <c r="AJ921" s="53"/>
    </row>
    <row r="922" ht="14.25" customHeight="1">
      <c r="E922" s="260"/>
      <c r="G922" s="260"/>
      <c r="H922" s="260"/>
      <c r="Y922" s="261"/>
      <c r="AJ922" s="53"/>
    </row>
    <row r="923" ht="14.25" customHeight="1">
      <c r="E923" s="260"/>
      <c r="G923" s="260"/>
      <c r="H923" s="260"/>
      <c r="Y923" s="261"/>
      <c r="AJ923" s="53"/>
    </row>
    <row r="924" ht="14.25" customHeight="1">
      <c r="E924" s="260"/>
      <c r="G924" s="260"/>
      <c r="H924" s="260"/>
      <c r="Y924" s="261"/>
      <c r="AJ924" s="53"/>
    </row>
    <row r="925" ht="14.25" customHeight="1">
      <c r="E925" s="260"/>
      <c r="G925" s="260"/>
      <c r="H925" s="260"/>
      <c r="Y925" s="261"/>
      <c r="AJ925" s="53"/>
    </row>
    <row r="926" ht="14.25" customHeight="1">
      <c r="E926" s="260"/>
      <c r="G926" s="260"/>
      <c r="H926" s="260"/>
      <c r="Y926" s="261"/>
      <c r="AJ926" s="53"/>
    </row>
    <row r="927" ht="14.25" customHeight="1">
      <c r="E927" s="260"/>
      <c r="G927" s="260"/>
      <c r="H927" s="260"/>
      <c r="Y927" s="261"/>
      <c r="AJ927" s="53"/>
    </row>
    <row r="928" ht="14.25" customHeight="1">
      <c r="E928" s="260"/>
      <c r="G928" s="260"/>
      <c r="H928" s="260"/>
      <c r="Y928" s="261"/>
      <c r="AJ928" s="53"/>
    </row>
    <row r="929" ht="14.25" customHeight="1">
      <c r="E929" s="260"/>
      <c r="G929" s="260"/>
      <c r="H929" s="260"/>
      <c r="Y929" s="261"/>
      <c r="AJ929" s="53"/>
    </row>
    <row r="930" ht="14.25" customHeight="1">
      <c r="E930" s="260"/>
      <c r="G930" s="260"/>
      <c r="H930" s="260"/>
      <c r="Y930" s="261"/>
      <c r="AJ930" s="53"/>
    </row>
    <row r="931" ht="14.25" customHeight="1">
      <c r="E931" s="260"/>
      <c r="G931" s="260"/>
      <c r="H931" s="260"/>
      <c r="Y931" s="261"/>
      <c r="AJ931" s="53"/>
    </row>
    <row r="932" ht="14.25" customHeight="1">
      <c r="E932" s="260"/>
      <c r="G932" s="260"/>
      <c r="H932" s="260"/>
      <c r="Y932" s="261"/>
      <c r="AJ932" s="53"/>
    </row>
    <row r="933" ht="14.25" customHeight="1">
      <c r="E933" s="260"/>
      <c r="G933" s="260"/>
      <c r="H933" s="260"/>
      <c r="Y933" s="261"/>
      <c r="AJ933" s="53"/>
    </row>
    <row r="934" ht="14.25" customHeight="1">
      <c r="E934" s="260"/>
      <c r="G934" s="260"/>
      <c r="H934" s="260"/>
      <c r="Y934" s="261"/>
      <c r="AJ934" s="53"/>
    </row>
    <row r="935" ht="14.25" customHeight="1">
      <c r="E935" s="260"/>
      <c r="G935" s="260"/>
      <c r="H935" s="260"/>
      <c r="Y935" s="261"/>
      <c r="AJ935" s="53"/>
    </row>
    <row r="936" ht="14.25" customHeight="1">
      <c r="E936" s="260"/>
      <c r="G936" s="260"/>
      <c r="H936" s="260"/>
      <c r="Y936" s="261"/>
      <c r="AJ936" s="53"/>
    </row>
    <row r="937" ht="14.25" customHeight="1">
      <c r="E937" s="260"/>
      <c r="G937" s="260"/>
      <c r="H937" s="260"/>
      <c r="Y937" s="261"/>
      <c r="AJ937" s="53"/>
    </row>
    <row r="938" ht="14.25" customHeight="1">
      <c r="E938" s="260"/>
      <c r="G938" s="260"/>
      <c r="H938" s="260"/>
      <c r="Y938" s="261"/>
      <c r="AJ938" s="53"/>
    </row>
    <row r="939" ht="14.25" customHeight="1">
      <c r="E939" s="260"/>
      <c r="G939" s="260"/>
      <c r="H939" s="260"/>
      <c r="Y939" s="261"/>
      <c r="AJ939" s="53"/>
    </row>
    <row r="940" ht="14.25" customHeight="1">
      <c r="E940" s="260"/>
      <c r="G940" s="260"/>
      <c r="H940" s="260"/>
      <c r="Y940" s="261"/>
      <c r="AJ940" s="53"/>
    </row>
    <row r="941" ht="14.25" customHeight="1">
      <c r="E941" s="260"/>
      <c r="G941" s="260"/>
      <c r="H941" s="260"/>
      <c r="Y941" s="261"/>
      <c r="AJ941" s="53"/>
    </row>
    <row r="942" ht="14.25" customHeight="1">
      <c r="E942" s="260"/>
      <c r="G942" s="260"/>
      <c r="H942" s="260"/>
      <c r="Y942" s="261"/>
      <c r="AJ942" s="53"/>
    </row>
    <row r="943" ht="14.25" customHeight="1">
      <c r="E943" s="260"/>
      <c r="G943" s="260"/>
      <c r="H943" s="260"/>
      <c r="Y943" s="261"/>
      <c r="AJ943" s="53"/>
    </row>
    <row r="944" ht="14.25" customHeight="1">
      <c r="E944" s="260"/>
      <c r="G944" s="260"/>
      <c r="H944" s="260"/>
      <c r="Y944" s="261"/>
      <c r="AJ944" s="53"/>
    </row>
    <row r="945" ht="14.25" customHeight="1">
      <c r="E945" s="260"/>
      <c r="G945" s="260"/>
      <c r="H945" s="260"/>
      <c r="Y945" s="261"/>
      <c r="AJ945" s="53"/>
    </row>
    <row r="946" ht="14.25" customHeight="1">
      <c r="E946" s="260"/>
      <c r="G946" s="260"/>
      <c r="H946" s="260"/>
      <c r="Y946" s="261"/>
      <c r="AJ946" s="53"/>
    </row>
    <row r="947" ht="14.25" customHeight="1">
      <c r="E947" s="260"/>
      <c r="G947" s="260"/>
      <c r="H947" s="260"/>
      <c r="Y947" s="261"/>
      <c r="AJ947" s="53"/>
    </row>
    <row r="948" ht="14.25" customHeight="1">
      <c r="E948" s="260"/>
      <c r="G948" s="260"/>
      <c r="H948" s="260"/>
      <c r="Y948" s="261"/>
      <c r="AJ948" s="53"/>
    </row>
    <row r="949" ht="14.25" customHeight="1">
      <c r="E949" s="260"/>
      <c r="G949" s="260"/>
      <c r="H949" s="260"/>
      <c r="Y949" s="261"/>
      <c r="AJ949" s="53"/>
    </row>
    <row r="950" ht="14.25" customHeight="1">
      <c r="E950" s="260"/>
      <c r="G950" s="260"/>
      <c r="H950" s="260"/>
      <c r="Y950" s="261"/>
      <c r="AJ950" s="53"/>
    </row>
    <row r="951" ht="14.25" customHeight="1">
      <c r="E951" s="260"/>
      <c r="G951" s="260"/>
      <c r="H951" s="260"/>
      <c r="Y951" s="261"/>
      <c r="AJ951" s="53"/>
    </row>
    <row r="952" ht="14.25" customHeight="1">
      <c r="E952" s="260"/>
      <c r="G952" s="260"/>
      <c r="H952" s="260"/>
      <c r="Y952" s="261"/>
      <c r="AJ952" s="53"/>
    </row>
    <row r="953" ht="14.25" customHeight="1">
      <c r="E953" s="260"/>
      <c r="G953" s="260"/>
      <c r="H953" s="260"/>
      <c r="Y953" s="261"/>
      <c r="AJ953" s="53"/>
    </row>
    <row r="954" ht="14.25" customHeight="1">
      <c r="E954" s="260"/>
      <c r="G954" s="260"/>
      <c r="H954" s="260"/>
      <c r="Y954" s="261"/>
      <c r="AJ954" s="53"/>
    </row>
    <row r="955" ht="14.25" customHeight="1">
      <c r="E955" s="260"/>
      <c r="G955" s="260"/>
      <c r="H955" s="260"/>
      <c r="Y955" s="261"/>
      <c r="AJ955" s="53"/>
    </row>
    <row r="956" ht="14.25" customHeight="1">
      <c r="E956" s="260"/>
      <c r="G956" s="260"/>
      <c r="H956" s="260"/>
      <c r="Y956" s="261"/>
      <c r="AJ956" s="53"/>
    </row>
    <row r="957" ht="14.25" customHeight="1">
      <c r="E957" s="260"/>
      <c r="G957" s="260"/>
      <c r="H957" s="260"/>
      <c r="Y957" s="261"/>
      <c r="AJ957" s="53"/>
    </row>
    <row r="958" ht="14.25" customHeight="1">
      <c r="E958" s="260"/>
      <c r="G958" s="260"/>
      <c r="H958" s="260"/>
      <c r="Y958" s="261"/>
      <c r="AJ958" s="53"/>
    </row>
    <row r="959" ht="14.25" customHeight="1">
      <c r="E959" s="260"/>
      <c r="G959" s="260"/>
      <c r="H959" s="260"/>
      <c r="Y959" s="261"/>
      <c r="AJ959" s="53"/>
    </row>
    <row r="960" ht="14.25" customHeight="1">
      <c r="E960" s="260"/>
      <c r="G960" s="260"/>
      <c r="H960" s="260"/>
      <c r="Y960" s="261"/>
      <c r="AJ960" s="53"/>
    </row>
    <row r="961" ht="14.25" customHeight="1">
      <c r="E961" s="260"/>
      <c r="G961" s="260"/>
      <c r="H961" s="260"/>
      <c r="Y961" s="261"/>
      <c r="AJ961" s="53"/>
    </row>
    <row r="962" ht="14.25" customHeight="1">
      <c r="E962" s="260"/>
      <c r="G962" s="260"/>
      <c r="H962" s="260"/>
      <c r="Y962" s="261"/>
      <c r="AJ962" s="53"/>
    </row>
    <row r="963" ht="14.25" customHeight="1">
      <c r="E963" s="260"/>
      <c r="G963" s="260"/>
      <c r="H963" s="260"/>
      <c r="Y963" s="261"/>
      <c r="AJ963" s="53"/>
    </row>
    <row r="964" ht="14.25" customHeight="1">
      <c r="E964" s="260"/>
      <c r="G964" s="260"/>
      <c r="H964" s="260"/>
      <c r="Y964" s="261"/>
      <c r="AJ964" s="53"/>
    </row>
    <row r="965" ht="14.25" customHeight="1">
      <c r="E965" s="260"/>
      <c r="G965" s="260"/>
      <c r="H965" s="260"/>
      <c r="Y965" s="261"/>
      <c r="AJ965" s="53"/>
    </row>
    <row r="966" ht="14.25" customHeight="1">
      <c r="E966" s="260"/>
      <c r="G966" s="260"/>
      <c r="H966" s="260"/>
      <c r="Y966" s="261"/>
      <c r="AJ966" s="53"/>
    </row>
    <row r="967" ht="14.25" customHeight="1">
      <c r="E967" s="260"/>
      <c r="G967" s="260"/>
      <c r="H967" s="260"/>
      <c r="Y967" s="261"/>
      <c r="AJ967" s="53"/>
    </row>
    <row r="968" ht="14.25" customHeight="1">
      <c r="E968" s="260"/>
      <c r="G968" s="260"/>
      <c r="H968" s="260"/>
      <c r="Y968" s="261"/>
      <c r="AJ968" s="53"/>
    </row>
    <row r="969" ht="14.25" customHeight="1">
      <c r="E969" s="260"/>
      <c r="G969" s="260"/>
      <c r="H969" s="260"/>
      <c r="Y969" s="261"/>
      <c r="AJ969" s="53"/>
    </row>
    <row r="970" ht="14.25" customHeight="1">
      <c r="E970" s="260"/>
      <c r="G970" s="260"/>
      <c r="H970" s="260"/>
      <c r="Y970" s="261"/>
      <c r="AJ970" s="53"/>
    </row>
    <row r="971" ht="14.25" customHeight="1">
      <c r="E971" s="260"/>
      <c r="G971" s="260"/>
      <c r="H971" s="260"/>
      <c r="Y971" s="261"/>
      <c r="AJ971" s="53"/>
    </row>
    <row r="972" ht="14.25" customHeight="1">
      <c r="E972" s="260"/>
      <c r="G972" s="260"/>
      <c r="H972" s="260"/>
      <c r="Y972" s="261"/>
      <c r="AJ972" s="53"/>
    </row>
    <row r="973" ht="14.25" customHeight="1">
      <c r="E973" s="260"/>
      <c r="G973" s="260"/>
      <c r="H973" s="260"/>
      <c r="Y973" s="261"/>
      <c r="AJ973" s="53"/>
    </row>
    <row r="974" ht="14.25" customHeight="1">
      <c r="E974" s="260"/>
      <c r="G974" s="260"/>
      <c r="H974" s="260"/>
      <c r="Y974" s="261"/>
      <c r="AJ974" s="53"/>
    </row>
    <row r="975" ht="14.25" customHeight="1">
      <c r="E975" s="260"/>
      <c r="G975" s="260"/>
      <c r="H975" s="260"/>
      <c r="Y975" s="261"/>
      <c r="AJ975" s="53"/>
    </row>
    <row r="976" ht="14.25" customHeight="1">
      <c r="E976" s="260"/>
      <c r="G976" s="260"/>
      <c r="H976" s="260"/>
      <c r="Y976" s="261"/>
      <c r="AJ976" s="53"/>
    </row>
    <row r="977" ht="14.25" customHeight="1">
      <c r="E977" s="260"/>
      <c r="G977" s="260"/>
      <c r="H977" s="260"/>
      <c r="Y977" s="261"/>
      <c r="AJ977" s="53"/>
    </row>
    <row r="978" ht="14.25" customHeight="1">
      <c r="E978" s="260"/>
      <c r="G978" s="260"/>
      <c r="H978" s="260"/>
      <c r="Y978" s="261"/>
      <c r="AJ978" s="53"/>
    </row>
    <row r="979" ht="14.25" customHeight="1">
      <c r="E979" s="260"/>
      <c r="G979" s="260"/>
      <c r="H979" s="260"/>
      <c r="Y979" s="261"/>
      <c r="AJ979" s="53"/>
    </row>
    <row r="980" ht="14.25" customHeight="1">
      <c r="E980" s="260"/>
      <c r="G980" s="260"/>
      <c r="H980" s="260"/>
      <c r="Y980" s="261"/>
      <c r="AJ980" s="53"/>
    </row>
    <row r="981" ht="14.25" customHeight="1">
      <c r="E981" s="260"/>
      <c r="G981" s="260"/>
      <c r="H981" s="260"/>
      <c r="Y981" s="261"/>
      <c r="AJ981" s="53"/>
    </row>
    <row r="982" ht="14.25" customHeight="1">
      <c r="E982" s="260"/>
      <c r="G982" s="260"/>
      <c r="H982" s="260"/>
      <c r="Y982" s="261"/>
      <c r="AJ982" s="53"/>
    </row>
    <row r="983" ht="14.25" customHeight="1">
      <c r="E983" s="260"/>
      <c r="G983" s="260"/>
      <c r="H983" s="260"/>
      <c r="Y983" s="261"/>
      <c r="AJ983" s="53"/>
    </row>
    <row r="984" ht="14.25" customHeight="1">
      <c r="E984" s="260"/>
      <c r="G984" s="260"/>
      <c r="H984" s="260"/>
      <c r="Y984" s="261"/>
      <c r="AJ984" s="53"/>
    </row>
    <row r="985" ht="14.25" customHeight="1">
      <c r="E985" s="260"/>
      <c r="G985" s="260"/>
      <c r="H985" s="260"/>
      <c r="Y985" s="261"/>
      <c r="AJ985" s="53"/>
    </row>
    <row r="986" ht="14.25" customHeight="1">
      <c r="E986" s="260"/>
      <c r="G986" s="260"/>
      <c r="H986" s="260"/>
      <c r="Y986" s="261"/>
      <c r="AJ986" s="53"/>
    </row>
    <row r="987" ht="14.25" customHeight="1">
      <c r="E987" s="260"/>
      <c r="G987" s="260"/>
      <c r="H987" s="260"/>
      <c r="Y987" s="261"/>
      <c r="AJ987" s="53"/>
    </row>
    <row r="988" ht="14.25" customHeight="1">
      <c r="E988" s="260"/>
      <c r="G988" s="260"/>
      <c r="H988" s="260"/>
      <c r="Y988" s="261"/>
      <c r="AJ988" s="53"/>
    </row>
    <row r="989" ht="14.25" customHeight="1">
      <c r="E989" s="260"/>
      <c r="G989" s="260"/>
      <c r="H989" s="260"/>
      <c r="Y989" s="261"/>
      <c r="AJ989" s="53"/>
    </row>
    <row r="990" ht="14.25" customHeight="1">
      <c r="E990" s="260"/>
      <c r="G990" s="260"/>
      <c r="H990" s="260"/>
      <c r="Y990" s="261"/>
      <c r="AJ990" s="53"/>
    </row>
    <row r="991" ht="14.25" customHeight="1">
      <c r="E991" s="260"/>
      <c r="G991" s="260"/>
      <c r="H991" s="260"/>
      <c r="Y991" s="261"/>
      <c r="AJ991" s="53"/>
    </row>
    <row r="992" ht="14.25" customHeight="1">
      <c r="E992" s="260"/>
      <c r="G992" s="260"/>
      <c r="H992" s="260"/>
      <c r="Y992" s="261"/>
      <c r="AJ992" s="53"/>
    </row>
    <row r="993" ht="14.25" customHeight="1">
      <c r="E993" s="260"/>
      <c r="G993" s="260"/>
      <c r="H993" s="260"/>
      <c r="Y993" s="261"/>
      <c r="AJ993" s="53"/>
    </row>
    <row r="994" ht="14.25" customHeight="1">
      <c r="E994" s="260"/>
      <c r="G994" s="260"/>
      <c r="H994" s="260"/>
      <c r="Y994" s="261"/>
      <c r="AJ994" s="53"/>
    </row>
    <row r="995" ht="14.25" customHeight="1">
      <c r="E995" s="260"/>
      <c r="G995" s="260"/>
      <c r="H995" s="260"/>
      <c r="Y995" s="261"/>
      <c r="AJ995" s="53"/>
    </row>
    <row r="996" ht="14.25" customHeight="1">
      <c r="E996" s="260"/>
      <c r="G996" s="260"/>
      <c r="H996" s="260"/>
      <c r="Y996" s="261"/>
      <c r="AJ996" s="53"/>
    </row>
    <row r="997" ht="14.25" customHeight="1">
      <c r="E997" s="260"/>
      <c r="G997" s="260"/>
      <c r="H997" s="260"/>
      <c r="Y997" s="261"/>
      <c r="AJ997" s="53"/>
    </row>
    <row r="998" ht="14.25" customHeight="1">
      <c r="E998" s="260"/>
      <c r="G998" s="260"/>
      <c r="H998" s="260"/>
      <c r="Y998" s="261"/>
      <c r="AJ998" s="53"/>
    </row>
    <row r="999" ht="14.25" customHeight="1">
      <c r="E999" s="260"/>
      <c r="G999" s="260"/>
      <c r="H999" s="260"/>
      <c r="Y999" s="261"/>
      <c r="AJ999" s="53"/>
    </row>
    <row r="1000" ht="14.25" customHeight="1">
      <c r="E1000" s="260"/>
      <c r="G1000" s="260"/>
      <c r="H1000" s="260"/>
      <c r="Y1000" s="261"/>
      <c r="AJ1000" s="53"/>
    </row>
    <row r="1001" ht="14.25" customHeight="1">
      <c r="E1001" s="260"/>
      <c r="G1001" s="260"/>
      <c r="H1001" s="260"/>
      <c r="Y1001" s="261"/>
      <c r="AJ1001" s="53"/>
    </row>
  </sheetData>
  <autoFilter ref="$A$5:$BZ$45"/>
  <mergeCells count="12">
    <mergeCell ref="AC3:AM3"/>
    <mergeCell ref="AN3:AP3"/>
    <mergeCell ref="AR3:BA3"/>
    <mergeCell ref="BB3:BM3"/>
    <mergeCell ref="BN3:BR3"/>
    <mergeCell ref="A3:A4"/>
    <mergeCell ref="B3:B4"/>
    <mergeCell ref="C3:C4"/>
    <mergeCell ref="D3:G3"/>
    <mergeCell ref="H3:R3"/>
    <mergeCell ref="S3:W3"/>
    <mergeCell ref="Y3:AB3"/>
  </mergeCells>
  <conditionalFormatting sqref="AQ6:AQ43">
    <cfRule type="cellIs" dxfId="0" priority="1" operator="greaterThan">
      <formula>"70%"</formula>
    </cfRule>
  </conditionalFormatting>
  <conditionalFormatting sqref="AQ6:AQ42">
    <cfRule type="cellIs" dxfId="1" priority="2" operator="lessThanOrEqual">
      <formula>"40%"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6.29"/>
    <col customWidth="1" min="3" max="3" width="23.43"/>
    <col customWidth="1" min="4" max="4" width="10.43"/>
    <col customWidth="1" min="5" max="5" width="8.86"/>
    <col customWidth="1" min="6" max="7" width="9.71"/>
    <col customWidth="1" min="8" max="12" width="8.86"/>
    <col customWidth="1" min="13" max="13" width="9.71"/>
    <col customWidth="1" min="14" max="15" width="8.86"/>
    <col customWidth="1" min="16" max="16" width="5.29"/>
  </cols>
  <sheetData>
    <row r="1">
      <c r="A1" s="279" t="s">
        <v>201</v>
      </c>
      <c r="B1" s="280"/>
      <c r="C1" s="281"/>
      <c r="D1" s="281"/>
      <c r="E1" s="281"/>
      <c r="F1" s="281"/>
      <c r="G1" s="281"/>
      <c r="H1" s="281"/>
      <c r="I1" s="281"/>
      <c r="J1" s="281"/>
      <c r="K1" s="281"/>
      <c r="P1" s="282"/>
    </row>
    <row r="2">
      <c r="A2" s="283" t="s">
        <v>202</v>
      </c>
      <c r="B2" s="283" t="s">
        <v>203</v>
      </c>
      <c r="C2" s="284" t="s">
        <v>112</v>
      </c>
      <c r="D2" s="285" t="s">
        <v>204</v>
      </c>
      <c r="E2" s="285" t="s">
        <v>194</v>
      </c>
      <c r="F2" s="285" t="s">
        <v>195</v>
      </c>
      <c r="G2" s="285" t="s">
        <v>196</v>
      </c>
      <c r="H2" s="285" t="s">
        <v>197</v>
      </c>
      <c r="I2" s="285" t="s">
        <v>205</v>
      </c>
      <c r="J2" s="285" t="s">
        <v>206</v>
      </c>
      <c r="K2" s="285" t="s">
        <v>207</v>
      </c>
      <c r="L2" s="285" t="s">
        <v>137</v>
      </c>
      <c r="M2" s="285" t="s">
        <v>138</v>
      </c>
      <c r="N2" s="285" t="s">
        <v>208</v>
      </c>
      <c r="O2" s="285" t="s">
        <v>209</v>
      </c>
      <c r="P2" s="286"/>
      <c r="Q2" s="287"/>
      <c r="R2" s="287"/>
      <c r="S2" s="288"/>
      <c r="T2" s="288"/>
      <c r="U2" s="288"/>
      <c r="V2" s="288"/>
      <c r="W2" s="288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</row>
    <row r="3">
      <c r="A3" s="289" t="s">
        <v>150</v>
      </c>
      <c r="B3" s="289">
        <v>751.0</v>
      </c>
      <c r="C3" s="290" t="s">
        <v>181</v>
      </c>
      <c r="D3" s="36">
        <v>1259.0</v>
      </c>
      <c r="E3" s="291">
        <v>0.9070691024622717</v>
      </c>
      <c r="F3" s="208">
        <v>0.6187450357426529</v>
      </c>
      <c r="G3" s="291">
        <v>0.015091342335186657</v>
      </c>
      <c r="H3" s="208">
        <v>0.29864972200158857</v>
      </c>
      <c r="I3" s="208">
        <v>0.7879269261318507</v>
      </c>
      <c r="J3" s="208">
        <v>0.20095313741064336</v>
      </c>
      <c r="K3" s="291">
        <v>0.011119936457505957</v>
      </c>
      <c r="L3" s="292">
        <v>0.03465982028241335</v>
      </c>
      <c r="M3" s="208">
        <v>0.627906976744186</v>
      </c>
      <c r="N3" s="208"/>
      <c r="O3" s="208">
        <v>0.9534883720930233</v>
      </c>
      <c r="P3" s="293"/>
      <c r="S3" s="294"/>
      <c r="T3" s="294"/>
      <c r="U3" s="294"/>
      <c r="V3" s="295"/>
      <c r="W3" s="295"/>
    </row>
    <row r="4">
      <c r="A4" s="289" t="s">
        <v>150</v>
      </c>
      <c r="B4" s="289">
        <v>728.0</v>
      </c>
      <c r="C4" s="290" t="s">
        <v>176</v>
      </c>
      <c r="D4" s="36">
        <v>2718.0</v>
      </c>
      <c r="E4" s="291">
        <v>0.8027961736571008</v>
      </c>
      <c r="F4" s="208">
        <v>0.7133922001471671</v>
      </c>
      <c r="G4" s="291">
        <v>0.0</v>
      </c>
      <c r="H4" s="208">
        <v>0.27851361295069904</v>
      </c>
      <c r="I4" s="208">
        <v>0.7071376011773363</v>
      </c>
      <c r="J4" s="208">
        <v>0.21927888153053715</v>
      </c>
      <c r="K4" s="291">
        <v>0.07358351729212656</v>
      </c>
      <c r="L4" s="292">
        <v>0.01444043321299639</v>
      </c>
      <c r="M4" s="208">
        <v>0.9655172413793104</v>
      </c>
      <c r="N4" s="208"/>
      <c r="O4" s="208">
        <v>0.9655172413793104</v>
      </c>
      <c r="P4" s="293"/>
      <c r="S4" s="294"/>
      <c r="T4" s="294"/>
      <c r="U4" s="294"/>
      <c r="V4" s="295"/>
      <c r="W4" s="295"/>
    </row>
    <row r="5">
      <c r="A5" s="289" t="s">
        <v>150</v>
      </c>
      <c r="B5" s="289">
        <v>669.0</v>
      </c>
      <c r="C5" s="290" t="s">
        <v>151</v>
      </c>
      <c r="D5" s="36">
        <v>3603.0</v>
      </c>
      <c r="E5" s="291">
        <v>0.8975853455453788</v>
      </c>
      <c r="F5" s="208">
        <v>0.8173744102137108</v>
      </c>
      <c r="G5" s="291">
        <v>0.01887316125451013</v>
      </c>
      <c r="H5" s="208">
        <v>0.13960588398556759</v>
      </c>
      <c r="I5" s="208">
        <v>0.8534554537885096</v>
      </c>
      <c r="J5" s="208">
        <v>0.09297807382736609</v>
      </c>
      <c r="K5" s="291">
        <v>0.05356647238412434</v>
      </c>
      <c r="L5" s="292">
        <v>0.26112054329371814</v>
      </c>
      <c r="M5" s="208">
        <v>1.0</v>
      </c>
      <c r="N5" s="208"/>
      <c r="O5" s="208">
        <v>0.9986996098829649</v>
      </c>
      <c r="P5" s="293"/>
      <c r="S5" s="294"/>
      <c r="T5" s="294"/>
      <c r="U5" s="294"/>
      <c r="V5" s="295"/>
      <c r="W5" s="295"/>
    </row>
    <row r="6">
      <c r="A6" s="289" t="s">
        <v>150</v>
      </c>
      <c r="B6" s="289">
        <v>765.0</v>
      </c>
      <c r="C6" s="290" t="s">
        <v>175</v>
      </c>
      <c r="D6" s="36">
        <v>3911.0</v>
      </c>
      <c r="E6" s="291">
        <v>0.6765533111736128</v>
      </c>
      <c r="F6" s="208">
        <v>0.6507287138839172</v>
      </c>
      <c r="G6" s="291">
        <v>0.05880848887752493</v>
      </c>
      <c r="H6" s="208">
        <v>0.264382510866786</v>
      </c>
      <c r="I6" s="208">
        <v>0.4906673485042189</v>
      </c>
      <c r="J6" s="208">
        <v>0.004091025313219126</v>
      </c>
      <c r="K6" s="291">
        <v>0.505241626182562</v>
      </c>
      <c r="L6" s="292">
        <v>0.019646365422396856</v>
      </c>
      <c r="M6" s="208">
        <v>0.819672131147541</v>
      </c>
      <c r="N6" s="208"/>
      <c r="O6" s="208">
        <v>0.7868852459016393</v>
      </c>
      <c r="P6" s="293"/>
      <c r="S6" s="294"/>
      <c r="T6" s="294"/>
      <c r="U6" s="294"/>
      <c r="V6" s="295"/>
      <c r="W6" s="295"/>
    </row>
    <row r="7">
      <c r="A7" s="289" t="s">
        <v>150</v>
      </c>
      <c r="B7" s="289">
        <v>741.0</v>
      </c>
      <c r="C7" s="290" t="s">
        <v>173</v>
      </c>
      <c r="D7" s="36">
        <v>4617.0</v>
      </c>
      <c r="E7" s="291">
        <v>0.8639809400043318</v>
      </c>
      <c r="F7" s="208">
        <v>0.411522633744856</v>
      </c>
      <c r="G7" s="291">
        <v>0.12627247130171107</v>
      </c>
      <c r="H7" s="208">
        <v>0.2187567684643708</v>
      </c>
      <c r="I7" s="208">
        <v>0.7251461988304093</v>
      </c>
      <c r="J7" s="208">
        <v>0.21789040502490795</v>
      </c>
      <c r="K7" s="291">
        <v>0.056963396144682696</v>
      </c>
      <c r="L7" s="292">
        <v>0.06157894736842105</v>
      </c>
      <c r="M7" s="208">
        <v>0.7905405405405406</v>
      </c>
      <c r="N7" s="208"/>
      <c r="O7" s="208">
        <v>0.9662162162162162</v>
      </c>
      <c r="P7" s="293"/>
      <c r="S7" s="294"/>
      <c r="T7" s="294"/>
      <c r="U7" s="294"/>
      <c r="V7" s="295"/>
      <c r="W7" s="295"/>
    </row>
    <row r="8">
      <c r="A8" s="296" t="s">
        <v>150</v>
      </c>
      <c r="B8" s="289">
        <v>834.0</v>
      </c>
      <c r="C8" s="290" t="s">
        <v>184</v>
      </c>
      <c r="D8" s="36">
        <v>4929.0</v>
      </c>
      <c r="E8" s="291">
        <v>0.9184418746195983</v>
      </c>
      <c r="F8" s="208">
        <v>0.8589977683100021</v>
      </c>
      <c r="G8" s="291">
        <v>0.008723879082978291</v>
      </c>
      <c r="H8" s="208">
        <v>0.0736457699330493</v>
      </c>
      <c r="I8" s="208">
        <v>0.7599918847636438</v>
      </c>
      <c r="J8" s="208">
        <v>0.22560357070399675</v>
      </c>
      <c r="K8" s="291">
        <v>0.014404544532359505</v>
      </c>
      <c r="L8" s="292">
        <v>0.04416627302786963</v>
      </c>
      <c r="M8" s="208">
        <v>0.9166666666666666</v>
      </c>
      <c r="N8" s="208"/>
      <c r="O8" s="208">
        <v>1.0</v>
      </c>
      <c r="P8" s="293"/>
      <c r="S8" s="294"/>
      <c r="T8" s="294"/>
      <c r="U8" s="294"/>
      <c r="V8" s="295"/>
      <c r="W8" s="295"/>
    </row>
    <row r="9">
      <c r="A9" s="296" t="s">
        <v>150</v>
      </c>
      <c r="B9" s="289">
        <v>716.0</v>
      </c>
      <c r="C9" s="290" t="s">
        <v>174</v>
      </c>
      <c r="D9" s="36">
        <v>14600.0</v>
      </c>
      <c r="E9" s="291">
        <v>0.9277397260273973</v>
      </c>
      <c r="F9" s="208">
        <v>0.5318493150684932</v>
      </c>
      <c r="G9" s="291">
        <v>0.2857534246575342</v>
      </c>
      <c r="H9" s="208">
        <v>0.14520547945205478</v>
      </c>
      <c r="I9" s="208">
        <v>0.6473972602739726</v>
      </c>
      <c r="J9" s="208">
        <v>0.015136986301369863</v>
      </c>
      <c r="K9" s="291">
        <v>0.3374657534246575</v>
      </c>
      <c r="L9" s="292">
        <v>0.07070186735350933</v>
      </c>
      <c r="M9" s="208">
        <v>0.4159090909090909</v>
      </c>
      <c r="N9" s="208"/>
      <c r="O9" s="208">
        <v>0.9772727272727273</v>
      </c>
      <c r="P9" s="293"/>
      <c r="S9" s="294"/>
      <c r="T9" s="294"/>
      <c r="U9" s="294"/>
      <c r="V9" s="295"/>
      <c r="W9" s="295"/>
    </row>
    <row r="10">
      <c r="A10" s="289" t="s">
        <v>150</v>
      </c>
      <c r="B10" s="289">
        <v>848.0</v>
      </c>
      <c r="C10" s="290" t="s">
        <v>152</v>
      </c>
      <c r="D10" s="36">
        <v>60859.0</v>
      </c>
      <c r="E10" s="291">
        <v>0.944363200184032</v>
      </c>
      <c r="F10" s="208">
        <v>0.7457894477398577</v>
      </c>
      <c r="G10" s="291">
        <v>0.06311309748763536</v>
      </c>
      <c r="H10" s="208">
        <v>0.09615669005405938</v>
      </c>
      <c r="I10" s="208">
        <v>0.7406957064690514</v>
      </c>
      <c r="J10" s="208">
        <v>0.06515059399595786</v>
      </c>
      <c r="K10" s="291">
        <v>0.1941536995349907</v>
      </c>
      <c r="L10" s="292">
        <v>0.06768308804089186</v>
      </c>
      <c r="M10" s="208">
        <v>0.9140136864028563</v>
      </c>
      <c r="N10" s="208"/>
      <c r="O10" s="208">
        <v>0.9875037191312109</v>
      </c>
      <c r="P10" s="293"/>
      <c r="S10" s="294"/>
      <c r="T10" s="294"/>
      <c r="U10" s="294"/>
      <c r="V10" s="295"/>
      <c r="W10" s="295"/>
    </row>
    <row r="11">
      <c r="A11" s="289" t="s">
        <v>153</v>
      </c>
      <c r="B11" s="289">
        <v>841.0</v>
      </c>
      <c r="C11" s="290" t="s">
        <v>166</v>
      </c>
      <c r="D11" s="36">
        <v>44855.0</v>
      </c>
      <c r="E11" s="291">
        <v>0.9091517110690001</v>
      </c>
      <c r="F11" s="208">
        <v>0.7915505517779512</v>
      </c>
      <c r="G11" s="291">
        <v>0.026195518894214693</v>
      </c>
      <c r="H11" s="208">
        <v>0.03475643740943039</v>
      </c>
      <c r="I11" s="208">
        <v>0.8883290603054286</v>
      </c>
      <c r="J11" s="208">
        <v>0.06407312451231746</v>
      </c>
      <c r="K11" s="291">
        <v>0.04759781518225393</v>
      </c>
      <c r="L11" s="292">
        <v>0.19450781580059145</v>
      </c>
      <c r="M11" s="208">
        <v>0.9431849221524173</v>
      </c>
      <c r="N11" s="208"/>
      <c r="O11" s="208">
        <v>0.9720021851953018</v>
      </c>
      <c r="P11" s="293"/>
      <c r="S11" s="294"/>
      <c r="T11" s="294"/>
      <c r="U11" s="294"/>
      <c r="V11" s="295"/>
      <c r="W11" s="295"/>
    </row>
    <row r="12">
      <c r="A12" s="289" t="s">
        <v>153</v>
      </c>
      <c r="B12" s="289">
        <v>877.0</v>
      </c>
      <c r="C12" s="290" t="s">
        <v>177</v>
      </c>
      <c r="D12" s="36">
        <v>62291.0</v>
      </c>
      <c r="E12" s="291">
        <v>0.9180459456422276</v>
      </c>
      <c r="F12" s="208">
        <v>0.7591305325006823</v>
      </c>
      <c r="G12" s="291">
        <v>0.09322374018718595</v>
      </c>
      <c r="H12" s="208">
        <v>0.09799168419193784</v>
      </c>
      <c r="I12" s="208">
        <v>0.7685861520925976</v>
      </c>
      <c r="J12" s="208">
        <v>0.06333178147725996</v>
      </c>
      <c r="K12" s="291">
        <v>0.1680820664301424</v>
      </c>
      <c r="L12" s="292">
        <v>0.04942161693488697</v>
      </c>
      <c r="M12" s="208">
        <v>0.7374566109182707</v>
      </c>
      <c r="N12" s="208"/>
      <c r="O12" s="208">
        <v>0.9400441779741243</v>
      </c>
      <c r="P12" s="293"/>
      <c r="S12" s="294"/>
      <c r="T12" s="294"/>
      <c r="U12" s="294"/>
      <c r="V12" s="295"/>
      <c r="W12" s="295"/>
    </row>
    <row r="13">
      <c r="A13" s="289" t="s">
        <v>153</v>
      </c>
      <c r="B13" s="289">
        <v>773.0</v>
      </c>
      <c r="C13" s="290" t="s">
        <v>154</v>
      </c>
      <c r="D13" s="36">
        <v>93165.0</v>
      </c>
      <c r="E13" s="291">
        <v>0.9020554929426287</v>
      </c>
      <c r="F13" s="208">
        <v>0.8091879997853271</v>
      </c>
      <c r="G13" s="291">
        <v>0.00796436429989803</v>
      </c>
      <c r="H13" s="208">
        <v>0.08691032039929159</v>
      </c>
      <c r="I13" s="208">
        <v>0.8633177695486502</v>
      </c>
      <c r="J13" s="208">
        <v>0.05343208286373638</v>
      </c>
      <c r="K13" s="291">
        <v>0.08325014758761337</v>
      </c>
      <c r="L13" s="292">
        <v>0.06656231761022975</v>
      </c>
      <c r="M13" s="208">
        <v>0.9600153051463555</v>
      </c>
      <c r="N13" s="208"/>
      <c r="O13" s="208">
        <v>0.9401186148842549</v>
      </c>
      <c r="P13" s="293"/>
      <c r="S13" s="294"/>
      <c r="T13" s="294"/>
      <c r="U13" s="294"/>
      <c r="V13" s="295"/>
      <c r="W13" s="295"/>
    </row>
    <row r="14">
      <c r="A14" s="289" t="s">
        <v>153</v>
      </c>
      <c r="B14" s="289">
        <v>866.0</v>
      </c>
      <c r="C14" s="290" t="s">
        <v>187</v>
      </c>
      <c r="D14" s="36">
        <v>94744.0</v>
      </c>
      <c r="E14" s="291">
        <v>0.8713058346702693</v>
      </c>
      <c r="F14" s="208">
        <v>0.8775964704888964</v>
      </c>
      <c r="G14" s="291">
        <v>9.28818711475133E-4</v>
      </c>
      <c r="H14" s="208">
        <v>0.10290889132821075</v>
      </c>
      <c r="I14" s="208">
        <v>0.8102043401165245</v>
      </c>
      <c r="J14" s="208">
        <v>0.012897914379802415</v>
      </c>
      <c r="K14" s="291">
        <v>0.17689774550367304</v>
      </c>
      <c r="L14" s="292">
        <v>0.05265373374866201</v>
      </c>
      <c r="M14" s="208">
        <v>0.9193616127677446</v>
      </c>
      <c r="N14" s="208"/>
      <c r="O14" s="208">
        <v>0.9202015959680806</v>
      </c>
      <c r="P14" s="293"/>
      <c r="S14" s="294"/>
      <c r="T14" s="294"/>
      <c r="U14" s="294"/>
      <c r="V14" s="295"/>
      <c r="W14" s="295"/>
    </row>
    <row r="15">
      <c r="A15" s="296" t="s">
        <v>159</v>
      </c>
      <c r="B15" s="289">
        <v>844.0</v>
      </c>
      <c r="C15" s="290" t="s">
        <v>169</v>
      </c>
      <c r="D15" s="36">
        <v>978.0</v>
      </c>
      <c r="E15" s="291">
        <v>0.934560327198364</v>
      </c>
      <c r="F15" s="208">
        <v>0.8507157464212679</v>
      </c>
      <c r="G15" s="291">
        <v>0.028629856850715747</v>
      </c>
      <c r="H15" s="208">
        <v>0.11451942740286299</v>
      </c>
      <c r="I15" s="208">
        <v>0.8241308793456033</v>
      </c>
      <c r="J15" s="208">
        <v>0.10224948875255624</v>
      </c>
      <c r="K15" s="291">
        <v>0.0736196319018405</v>
      </c>
      <c r="L15" s="292">
        <v>0.07451923076923077</v>
      </c>
      <c r="M15" s="208">
        <v>0.9117647058823529</v>
      </c>
      <c r="N15" s="208"/>
      <c r="O15" s="208">
        <v>0.9852941176470589</v>
      </c>
      <c r="P15" s="293"/>
      <c r="S15" s="294"/>
      <c r="T15" s="294"/>
      <c r="U15" s="294"/>
      <c r="V15" s="295"/>
      <c r="W15" s="295"/>
    </row>
    <row r="16">
      <c r="A16" s="289" t="s">
        <v>159</v>
      </c>
      <c r="B16" s="289">
        <v>899.0</v>
      </c>
      <c r="C16" s="290" t="s">
        <v>160</v>
      </c>
      <c r="D16" s="36">
        <v>5619.0</v>
      </c>
      <c r="E16" s="291">
        <v>0.0402206798362698</v>
      </c>
      <c r="F16" s="208">
        <v>0.4819362875956576</v>
      </c>
      <c r="G16" s="291">
        <v>0.04395799964406478</v>
      </c>
      <c r="H16" s="208">
        <v>0.4644954618259477</v>
      </c>
      <c r="I16" s="208">
        <v>0.603488165153942</v>
      </c>
      <c r="J16" s="208">
        <v>0.27122263747997866</v>
      </c>
      <c r="K16" s="291">
        <v>0.12528919736607938</v>
      </c>
      <c r="L16" s="292">
        <v>0.0033234859675036928</v>
      </c>
      <c r="M16" s="208">
        <v>0.47368421052631576</v>
      </c>
      <c r="N16" s="208"/>
      <c r="O16" s="208">
        <v>0.0</v>
      </c>
      <c r="P16" s="286"/>
      <c r="Q16" s="287"/>
      <c r="R16" s="287"/>
      <c r="S16" s="288"/>
      <c r="T16" s="288"/>
      <c r="U16" s="288"/>
      <c r="V16" s="288"/>
      <c r="W16" s="288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</row>
    <row r="17">
      <c r="A17" s="289" t="s">
        <v>159</v>
      </c>
      <c r="B17" s="289">
        <v>869.0</v>
      </c>
      <c r="C17" s="290" t="s">
        <v>164</v>
      </c>
      <c r="D17" s="36">
        <v>18028.0</v>
      </c>
      <c r="E17" s="291">
        <v>0.9524628355890836</v>
      </c>
      <c r="F17" s="208">
        <v>0.8500665631240293</v>
      </c>
      <c r="G17" s="291">
        <v>0.0</v>
      </c>
      <c r="H17" s="208">
        <v>0.14677168848457955</v>
      </c>
      <c r="I17" s="208">
        <v>0.6552584867983138</v>
      </c>
      <c r="J17" s="208">
        <v>0.07815620146438873</v>
      </c>
      <c r="K17" s="291">
        <v>0.26658531173729755</v>
      </c>
      <c r="L17" s="292">
        <v>0.19765089722675366</v>
      </c>
      <c r="M17" s="208">
        <v>0.9967094438960185</v>
      </c>
      <c r="N17" s="208"/>
      <c r="O17" s="208">
        <v>0.9944060546232313</v>
      </c>
      <c r="P17" s="293"/>
      <c r="S17" s="295"/>
      <c r="T17" s="294"/>
      <c r="U17" s="295"/>
      <c r="V17" s="295"/>
      <c r="W17" s="295"/>
    </row>
    <row r="18">
      <c r="A18" s="289" t="s">
        <v>159</v>
      </c>
      <c r="B18" s="289">
        <v>719.0</v>
      </c>
      <c r="C18" s="290" t="s">
        <v>186</v>
      </c>
      <c r="D18" s="36">
        <v>22815.0</v>
      </c>
      <c r="E18" s="291">
        <v>0.8418145956607495</v>
      </c>
      <c r="F18" s="208">
        <v>0.71689677843524</v>
      </c>
      <c r="G18" s="291">
        <v>0.026649134341442032</v>
      </c>
      <c r="H18" s="208">
        <v>0.22901599824676747</v>
      </c>
      <c r="I18" s="208">
        <v>0.6911242603550296</v>
      </c>
      <c r="J18" s="208">
        <v>0.043918474687705454</v>
      </c>
      <c r="K18" s="291">
        <v>0.26495726495726496</v>
      </c>
      <c r="L18" s="292">
        <v>0.20616287600880412</v>
      </c>
      <c r="M18" s="208">
        <v>0.9759768451519537</v>
      </c>
      <c r="N18" s="208"/>
      <c r="O18" s="208">
        <v>0.9629522431259044</v>
      </c>
      <c r="P18" s="293"/>
      <c r="S18" s="295"/>
      <c r="T18" s="294"/>
      <c r="U18" s="295"/>
      <c r="V18" s="295"/>
      <c r="W18" s="295"/>
    </row>
    <row r="19">
      <c r="A19" s="296" t="s">
        <v>159</v>
      </c>
      <c r="B19" s="289">
        <v>865.0</v>
      </c>
      <c r="C19" s="290" t="s">
        <v>163</v>
      </c>
      <c r="D19" s="36">
        <v>23726.0</v>
      </c>
      <c r="E19" s="291">
        <v>0.7589985669729411</v>
      </c>
      <c r="F19" s="208">
        <v>0.6112703363398803</v>
      </c>
      <c r="G19" s="291">
        <v>6.743656747871534E-4</v>
      </c>
      <c r="H19" s="208">
        <v>0.3481834274635421</v>
      </c>
      <c r="I19" s="208">
        <v>0.5347298322515384</v>
      </c>
      <c r="J19" s="208">
        <v>0.21461687600101154</v>
      </c>
      <c r="K19" s="291">
        <v>0.25065329174745005</v>
      </c>
      <c r="L19" s="292">
        <v>0.05591946493828863</v>
      </c>
      <c r="M19" s="208">
        <v>0.9643281807372176</v>
      </c>
      <c r="N19" s="208"/>
      <c r="O19" s="208">
        <v>0.9322235434007135</v>
      </c>
      <c r="P19" s="293"/>
      <c r="S19" s="294"/>
      <c r="T19" s="294"/>
      <c r="U19" s="295"/>
      <c r="V19" s="295"/>
      <c r="W19" s="295"/>
    </row>
    <row r="20">
      <c r="A20" s="296" t="s">
        <v>159</v>
      </c>
      <c r="B20" s="289">
        <v>928.0</v>
      </c>
      <c r="C20" s="290" t="s">
        <v>179</v>
      </c>
      <c r="D20" s="36">
        <v>27701.0</v>
      </c>
      <c r="E20" s="291">
        <v>0.7824627269773654</v>
      </c>
      <c r="F20" s="208">
        <v>0.6916717808021371</v>
      </c>
      <c r="G20" s="291">
        <v>0.016244900906104472</v>
      </c>
      <c r="H20" s="208">
        <v>0.2880040431753366</v>
      </c>
      <c r="I20" s="208">
        <v>0.5658640482293058</v>
      </c>
      <c r="J20" s="208">
        <v>0.19436121439659218</v>
      </c>
      <c r="K20" s="291">
        <v>0.23977473737410201</v>
      </c>
      <c r="L20" s="292">
        <v>0.12792275574112735</v>
      </c>
      <c r="M20" s="208">
        <v>0.9714625445897741</v>
      </c>
      <c r="N20" s="208"/>
      <c r="O20" s="208">
        <v>0.9686880697582243</v>
      </c>
      <c r="P20" s="293"/>
      <c r="S20" s="294"/>
      <c r="T20" s="294"/>
      <c r="U20" s="294"/>
      <c r="V20" s="295"/>
      <c r="W20" s="295"/>
    </row>
    <row r="21">
      <c r="A21" s="289" t="s">
        <v>159</v>
      </c>
      <c r="B21" s="289">
        <v>834.0</v>
      </c>
      <c r="C21" s="290" t="s">
        <v>165</v>
      </c>
      <c r="D21" s="36">
        <v>28805.0</v>
      </c>
      <c r="E21" s="291">
        <v>0.8871723659086964</v>
      </c>
      <c r="F21" s="208">
        <v>0.8025342822426662</v>
      </c>
      <c r="G21" s="291">
        <v>3.471619510501649E-5</v>
      </c>
      <c r="H21" s="208">
        <v>0.19184169415032112</v>
      </c>
      <c r="I21" s="208">
        <v>0.8424579066134351</v>
      </c>
      <c r="J21" s="208">
        <v>0.11796563096684604</v>
      </c>
      <c r="K21" s="291">
        <v>0.0395764624197188</v>
      </c>
      <c r="L21" s="292">
        <v>0.10438205649521996</v>
      </c>
      <c r="M21" s="208">
        <v>0.985702614379085</v>
      </c>
      <c r="N21" s="208"/>
      <c r="O21" s="208">
        <v>0.9338235294117647</v>
      </c>
      <c r="P21" s="293"/>
      <c r="S21" s="294"/>
      <c r="T21" s="294"/>
      <c r="U21" s="294"/>
      <c r="V21" s="295"/>
      <c r="W21" s="295"/>
    </row>
    <row r="22">
      <c r="A22" s="289" t="s">
        <v>159</v>
      </c>
      <c r="B22" s="289">
        <v>851.0</v>
      </c>
      <c r="C22" s="290" t="s">
        <v>185</v>
      </c>
      <c r="D22" s="36">
        <v>258054.0</v>
      </c>
      <c r="E22" s="291">
        <v>0.8568632921791564</v>
      </c>
      <c r="F22" s="208">
        <v>0.52755237275919</v>
      </c>
      <c r="G22" s="291">
        <v>0.031439156145612934</v>
      </c>
      <c r="H22" s="208">
        <v>0.3790214451238888</v>
      </c>
      <c r="I22" s="208">
        <v>0.715516907313973</v>
      </c>
      <c r="J22" s="208">
        <v>0.03327210583831291</v>
      </c>
      <c r="K22" s="291">
        <v>0.25121098684771404</v>
      </c>
      <c r="L22" s="292">
        <v>0.036837891241910725</v>
      </c>
      <c r="M22" s="208">
        <v>0.6237562189054726</v>
      </c>
      <c r="N22" s="208"/>
      <c r="O22" s="208">
        <v>0.7355721393034826</v>
      </c>
      <c r="P22" s="293"/>
      <c r="S22" s="294"/>
      <c r="T22" s="294"/>
      <c r="U22" s="294"/>
      <c r="V22" s="295"/>
      <c r="W22" s="295"/>
    </row>
    <row r="23">
      <c r="A23" s="296" t="s">
        <v>155</v>
      </c>
      <c r="B23" s="289">
        <v>795.0</v>
      </c>
      <c r="C23" s="290" t="s">
        <v>161</v>
      </c>
      <c r="D23" s="36">
        <v>1510.0</v>
      </c>
      <c r="E23" s="291">
        <v>0.7847682119205298</v>
      </c>
      <c r="F23" s="208">
        <v>0.5344370860927152</v>
      </c>
      <c r="G23" s="291">
        <v>0.36887417218543045</v>
      </c>
      <c r="H23" s="208">
        <v>0.09205298013245033</v>
      </c>
      <c r="I23" s="208">
        <v>0.6350993377483444</v>
      </c>
      <c r="J23" s="208">
        <v>0.1357615894039735</v>
      </c>
      <c r="K23" s="291">
        <v>0.22913907284768212</v>
      </c>
      <c r="L23" s="292">
        <v>0.29120198265179675</v>
      </c>
      <c r="M23" s="208">
        <v>0.9670781893004116</v>
      </c>
      <c r="N23" s="208"/>
      <c r="O23" s="208">
        <v>0.9259259259259259</v>
      </c>
    </row>
    <row r="24">
      <c r="A24" s="289" t="s">
        <v>155</v>
      </c>
      <c r="B24" s="289">
        <v>903.0</v>
      </c>
      <c r="C24" s="290" t="s">
        <v>162</v>
      </c>
      <c r="D24" s="36">
        <v>53851.0</v>
      </c>
      <c r="E24" s="291">
        <v>0.7695121724759058</v>
      </c>
      <c r="F24" s="208">
        <v>0.6227553805871757</v>
      </c>
      <c r="G24" s="291">
        <v>0.10380494326939146</v>
      </c>
      <c r="H24" s="208">
        <v>0.25178733913947743</v>
      </c>
      <c r="I24" s="208">
        <v>0.7491411487251861</v>
      </c>
      <c r="J24" s="208">
        <v>0.0562663645986147</v>
      </c>
      <c r="K24" s="291">
        <v>0.19459248667619913</v>
      </c>
      <c r="L24" s="292">
        <v>0.032025286259541985</v>
      </c>
      <c r="M24" s="208">
        <v>0.648159324079662</v>
      </c>
      <c r="N24" s="208"/>
      <c r="O24" s="208">
        <v>0.8225709112854557</v>
      </c>
      <c r="P24" s="293"/>
      <c r="S24" s="294"/>
      <c r="T24" s="294"/>
      <c r="U24" s="294"/>
      <c r="V24" s="295"/>
      <c r="W24" s="295"/>
    </row>
    <row r="25">
      <c r="A25" s="296" t="s">
        <v>200</v>
      </c>
      <c r="B25" s="289">
        <v>843.0</v>
      </c>
      <c r="C25" s="290" t="s">
        <v>157</v>
      </c>
      <c r="D25" s="36">
        <v>56512.0</v>
      </c>
      <c r="E25" s="291">
        <v>0.8877406568516422</v>
      </c>
      <c r="F25" s="208">
        <v>0.859605039637599</v>
      </c>
      <c r="G25" s="291">
        <v>0.0073789637599094</v>
      </c>
      <c r="H25" s="208">
        <v>0.12498230464326161</v>
      </c>
      <c r="I25" s="208">
        <v>0.6348209229898075</v>
      </c>
      <c r="J25" s="208">
        <v>0.04462768969422424</v>
      </c>
      <c r="K25" s="291">
        <v>0.3205513873159683</v>
      </c>
      <c r="L25" s="292">
        <v>0.11058503849479188</v>
      </c>
      <c r="M25" s="208">
        <v>0.9802919708029197</v>
      </c>
      <c r="N25" s="208"/>
      <c r="O25" s="208">
        <v>0.9724452554744526</v>
      </c>
      <c r="P25" s="293"/>
      <c r="S25" s="294"/>
      <c r="T25" s="294"/>
      <c r="U25" s="294"/>
      <c r="V25" s="295"/>
      <c r="W25" s="295"/>
    </row>
    <row r="26">
      <c r="A26" s="289" t="s">
        <v>155</v>
      </c>
      <c r="B26" s="289">
        <v>903.0</v>
      </c>
      <c r="C26" s="290" t="s">
        <v>180</v>
      </c>
      <c r="D26" s="36">
        <v>106373.0</v>
      </c>
      <c r="E26" s="291">
        <v>0.8306807178513345</v>
      </c>
      <c r="F26" s="208">
        <v>0.6222725691669878</v>
      </c>
      <c r="G26" s="291">
        <v>0.0</v>
      </c>
      <c r="H26" s="208">
        <v>0.3273951096612862</v>
      </c>
      <c r="I26" s="208">
        <v>0.7026877121073957</v>
      </c>
      <c r="J26" s="208">
        <v>0.2866516879283277</v>
      </c>
      <c r="K26" s="291">
        <v>0.01066059996427665</v>
      </c>
      <c r="L26" s="292">
        <v>0.11439276056380585</v>
      </c>
      <c r="M26" s="208">
        <v>0.6960838389409818</v>
      </c>
      <c r="N26" s="208"/>
      <c r="O26" s="208">
        <v>0.9152417723846296</v>
      </c>
      <c r="P26" s="293"/>
      <c r="S26" s="294"/>
      <c r="T26" s="294"/>
      <c r="U26" s="294"/>
      <c r="V26" s="295"/>
      <c r="W26" s="295"/>
    </row>
    <row r="27" ht="14.25" customHeight="1">
      <c r="A27" s="296" t="s">
        <v>155</v>
      </c>
      <c r="B27" s="289">
        <v>928.0</v>
      </c>
      <c r="C27" s="290" t="s">
        <v>172</v>
      </c>
      <c r="D27" s="36">
        <v>109605.0</v>
      </c>
      <c r="E27" s="291">
        <v>0.7472560558368687</v>
      </c>
      <c r="F27" s="208">
        <v>0.591879932484832</v>
      </c>
      <c r="G27" s="291">
        <v>0.2193056886090963</v>
      </c>
      <c r="H27" s="208">
        <v>0.17579489986770677</v>
      </c>
      <c r="I27" s="208">
        <v>0.7379407873728389</v>
      </c>
      <c r="J27" s="208">
        <v>0.15977373295013914</v>
      </c>
      <c r="K27" s="291">
        <v>0.10228547967702203</v>
      </c>
      <c r="L27" s="292">
        <v>0.08541303778151157</v>
      </c>
      <c r="M27" s="208">
        <v>0.9381984422621064</v>
      </c>
      <c r="N27" s="208"/>
      <c r="O27" s="208">
        <v>0.9187267185912631</v>
      </c>
      <c r="P27" s="297"/>
      <c r="Q27" s="183"/>
      <c r="R27" s="183"/>
      <c r="S27" s="184"/>
      <c r="T27" s="275"/>
      <c r="U27" s="184"/>
      <c r="V27" s="201"/>
      <c r="W27" s="185"/>
      <c r="X27" s="274"/>
      <c r="Y27" s="273"/>
      <c r="Z27" s="190"/>
      <c r="AA27" s="183"/>
      <c r="AB27" s="183"/>
      <c r="AC27" s="185"/>
      <c r="AD27" s="208"/>
      <c r="AE27" s="35"/>
      <c r="AF27" s="35"/>
      <c r="AG27" s="35"/>
      <c r="AH27" s="208"/>
      <c r="AI27" s="35"/>
      <c r="AJ27" s="208"/>
      <c r="AK27" s="35"/>
      <c r="AL27" s="185"/>
      <c r="AM27" s="185"/>
      <c r="AN27" s="35"/>
      <c r="AO27" s="35"/>
      <c r="AP27" s="35"/>
      <c r="AQ27" s="190"/>
      <c r="AR27" s="183"/>
      <c r="AS27" s="35"/>
      <c r="AT27" s="35"/>
      <c r="AU27" s="35"/>
      <c r="AV27" s="35"/>
      <c r="AW27" s="35"/>
      <c r="AX27" s="35"/>
      <c r="AY27" s="35"/>
      <c r="AZ27" s="35"/>
      <c r="BA27" s="35"/>
      <c r="BB27" s="190"/>
      <c r="BC27" s="183"/>
      <c r="BD27" s="185"/>
      <c r="BE27" s="209"/>
      <c r="BF27" s="201"/>
      <c r="BG27" s="185"/>
      <c r="BH27" s="185"/>
      <c r="BI27" s="185"/>
      <c r="BJ27" s="185"/>
      <c r="BK27" s="185"/>
      <c r="BL27" s="35"/>
      <c r="BM27" s="185"/>
      <c r="BN27" s="196"/>
      <c r="BO27" s="196"/>
      <c r="BP27" s="196"/>
      <c r="BQ27" s="196"/>
      <c r="BR27" s="196"/>
      <c r="BS27" s="198"/>
      <c r="BT27" s="198"/>
      <c r="BU27" s="198"/>
      <c r="BV27" s="197"/>
      <c r="BW27" s="197"/>
    </row>
    <row r="28">
      <c r="A28" s="298" t="s">
        <v>200</v>
      </c>
      <c r="B28" s="299">
        <v>771.0</v>
      </c>
      <c r="C28" s="300" t="s">
        <v>171</v>
      </c>
      <c r="D28" s="183">
        <v>125582.0</v>
      </c>
      <c r="E28" s="301">
        <v>0.8282237900336036</v>
      </c>
      <c r="F28" s="302">
        <v>0.5319950311350353</v>
      </c>
      <c r="G28" s="303"/>
      <c r="H28" s="304"/>
      <c r="I28" s="305"/>
      <c r="J28" s="303"/>
      <c r="K28" s="303"/>
      <c r="L28" s="301"/>
      <c r="M28" s="303"/>
      <c r="N28" s="304"/>
      <c r="O28" s="305"/>
      <c r="P28" s="293"/>
      <c r="S28" s="294"/>
      <c r="T28" s="294"/>
      <c r="U28" s="294"/>
      <c r="V28" s="295"/>
      <c r="W28" s="295"/>
    </row>
    <row r="29">
      <c r="A29" s="296" t="s">
        <v>148</v>
      </c>
      <c r="B29" s="289">
        <v>897.0</v>
      </c>
      <c r="C29" s="290" t="s">
        <v>178</v>
      </c>
      <c r="D29" s="36">
        <v>736.0</v>
      </c>
      <c r="E29" s="291">
        <v>0.5353260869565217</v>
      </c>
      <c r="F29" s="208">
        <v>0.5597826086956522</v>
      </c>
      <c r="G29" s="291">
        <v>0.04483695652173913</v>
      </c>
      <c r="H29" s="208">
        <v>0.38179347826086957</v>
      </c>
      <c r="I29" s="208">
        <v>0.47282608695652173</v>
      </c>
      <c r="J29" s="208">
        <v>0.38858695652173914</v>
      </c>
      <c r="K29" s="291">
        <v>0.13858695652173914</v>
      </c>
      <c r="L29" s="292">
        <v>0.0</v>
      </c>
      <c r="M29" s="208">
        <v>0.0</v>
      </c>
      <c r="N29" s="208"/>
      <c r="O29" s="208">
        <v>0.0</v>
      </c>
      <c r="P29" s="293"/>
      <c r="S29" s="294"/>
      <c r="T29" s="294"/>
      <c r="U29" s="294"/>
      <c r="V29" s="295"/>
      <c r="W29" s="295"/>
    </row>
    <row r="30">
      <c r="A30" s="289" t="s">
        <v>148</v>
      </c>
      <c r="B30" s="289">
        <v>928.0</v>
      </c>
      <c r="C30" s="290" t="s">
        <v>168</v>
      </c>
      <c r="D30" s="36">
        <v>16240.0</v>
      </c>
      <c r="E30" s="291">
        <v>0.7953817733990147</v>
      </c>
      <c r="F30" s="208">
        <v>0.3023399014778325</v>
      </c>
      <c r="G30" s="291">
        <v>0.44230295566502464</v>
      </c>
      <c r="H30" s="208">
        <v>0.19482758620689655</v>
      </c>
      <c r="I30" s="208">
        <v>0.6576970443349753</v>
      </c>
      <c r="J30" s="208">
        <v>0.17573891625615765</v>
      </c>
      <c r="K30" s="291">
        <v>0.166564039408867</v>
      </c>
      <c r="L30" s="292">
        <v>0.038289205702647655</v>
      </c>
      <c r="M30" s="208">
        <v>0.6064516129032258</v>
      </c>
      <c r="N30" s="208"/>
      <c r="O30" s="208">
        <v>0.9354838709677419</v>
      </c>
      <c r="P30" s="293"/>
      <c r="S30" s="294"/>
      <c r="T30" s="294"/>
      <c r="U30" s="294"/>
      <c r="V30" s="295"/>
      <c r="W30" s="295"/>
    </row>
    <row r="31">
      <c r="A31" s="296" t="s">
        <v>148</v>
      </c>
      <c r="B31" s="289">
        <v>754.0</v>
      </c>
      <c r="C31" s="290" t="s">
        <v>183</v>
      </c>
      <c r="D31" s="36">
        <v>43083.0</v>
      </c>
      <c r="E31" s="291">
        <v>0.6626047396885082</v>
      </c>
      <c r="F31" s="208">
        <v>0.6434556553629042</v>
      </c>
      <c r="G31" s="291">
        <v>0.016247707912633753</v>
      </c>
      <c r="H31" s="208">
        <v>0.2830118608267762</v>
      </c>
      <c r="I31" s="208">
        <v>0.6591695100155514</v>
      </c>
      <c r="J31" s="208">
        <v>0.16711928138709004</v>
      </c>
      <c r="K31" s="291">
        <v>0.17371120859735859</v>
      </c>
      <c r="L31" s="292">
        <v>0.1814082678017459</v>
      </c>
      <c r="M31" s="208">
        <v>0.7867647058823529</v>
      </c>
      <c r="N31" s="208"/>
      <c r="O31" s="208">
        <v>0.865613266583229</v>
      </c>
      <c r="P31" s="293"/>
      <c r="S31" s="295"/>
      <c r="T31" s="294"/>
      <c r="U31" s="294"/>
      <c r="V31" s="295"/>
      <c r="W31" s="295"/>
    </row>
    <row r="32">
      <c r="A32" s="289" t="s">
        <v>148</v>
      </c>
      <c r="B32" s="289">
        <v>855.0</v>
      </c>
      <c r="C32" s="290" t="s">
        <v>182</v>
      </c>
      <c r="D32" s="36">
        <v>58801.0</v>
      </c>
      <c r="E32" s="291">
        <v>0.734341252699784</v>
      </c>
      <c r="F32" s="208">
        <v>0.6077277597319773</v>
      </c>
      <c r="G32" s="291">
        <v>0.1415452118161256</v>
      </c>
      <c r="H32" s="208">
        <v>0.2108127412799102</v>
      </c>
      <c r="I32" s="208">
        <v>0.7519940137072498</v>
      </c>
      <c r="J32" s="208">
        <v>0.10651179401710856</v>
      </c>
      <c r="K32" s="291">
        <v>0.14149419227564158</v>
      </c>
      <c r="L32" s="292">
        <v>0.05339303204141598</v>
      </c>
      <c r="M32" s="208">
        <v>0.7061435973353072</v>
      </c>
      <c r="N32" s="208"/>
      <c r="O32" s="208">
        <v>0.8749074759437454</v>
      </c>
      <c r="P32" s="293"/>
      <c r="S32" s="294"/>
      <c r="T32" s="294"/>
      <c r="U32" s="294"/>
      <c r="V32" s="295"/>
      <c r="W32" s="295"/>
    </row>
    <row r="33">
      <c r="A33" s="289" t="s">
        <v>148</v>
      </c>
      <c r="B33" s="289">
        <v>902.0</v>
      </c>
      <c r="C33" s="290" t="s">
        <v>149</v>
      </c>
      <c r="D33" s="36">
        <v>61948.0</v>
      </c>
      <c r="E33" s="291">
        <v>0.8040614709110867</v>
      </c>
      <c r="F33" s="208">
        <v>0.6863175566604248</v>
      </c>
      <c r="G33" s="291">
        <v>0.024891844773035448</v>
      </c>
      <c r="H33" s="208">
        <v>0.243074836960031</v>
      </c>
      <c r="I33" s="208">
        <v>0.7563601730483631</v>
      </c>
      <c r="J33" s="208">
        <v>0.048298572996706916</v>
      </c>
      <c r="K33" s="291">
        <v>0.19534125395492993</v>
      </c>
      <c r="L33" s="292">
        <v>0.23243014394580863</v>
      </c>
      <c r="M33" s="208">
        <v>0.7978362667527854</v>
      </c>
      <c r="N33" s="208"/>
      <c r="O33" s="208">
        <v>0.9297594057807201</v>
      </c>
    </row>
    <row r="34">
      <c r="A34" s="296" t="s">
        <v>148</v>
      </c>
      <c r="B34" s="289">
        <v>862.0</v>
      </c>
      <c r="C34" s="290" t="s">
        <v>167</v>
      </c>
      <c r="D34" s="36">
        <v>76450.0</v>
      </c>
      <c r="E34" s="291">
        <v>0.7183518639633748</v>
      </c>
      <c r="F34" s="208">
        <v>0.6326618705035971</v>
      </c>
      <c r="G34" s="291">
        <v>0.09300196206671027</v>
      </c>
      <c r="H34" s="208">
        <v>0.2570307390451275</v>
      </c>
      <c r="I34" s="208">
        <v>0.7195814257684762</v>
      </c>
      <c r="J34" s="208">
        <v>0.08154349247874428</v>
      </c>
      <c r="K34" s="291">
        <v>0.1988750817527796</v>
      </c>
      <c r="L34" s="292">
        <v>0.1390824322368557</v>
      </c>
      <c r="M34" s="208">
        <v>0.8571610601427115</v>
      </c>
      <c r="N34" s="208"/>
      <c r="O34" s="208">
        <v>0.8811162079510704</v>
      </c>
      <c r="P34" s="293"/>
      <c r="S34" s="294"/>
      <c r="T34" s="294"/>
      <c r="U34" s="294"/>
      <c r="V34" s="295"/>
      <c r="W34" s="295"/>
    </row>
    <row r="35">
      <c r="A35" s="289" t="s">
        <v>146</v>
      </c>
      <c r="B35" s="289">
        <v>851.0</v>
      </c>
      <c r="C35" s="290" t="s">
        <v>170</v>
      </c>
      <c r="D35" s="36">
        <v>38.0</v>
      </c>
      <c r="E35" s="291">
        <v>1.0</v>
      </c>
      <c r="F35" s="208">
        <v>0.9473684210526315</v>
      </c>
      <c r="G35" s="291">
        <v>0.0</v>
      </c>
      <c r="H35" s="208">
        <v>0.0</v>
      </c>
      <c r="I35" s="208">
        <v>0.6578947368421053</v>
      </c>
      <c r="J35" s="208">
        <v>0.10526315789473684</v>
      </c>
      <c r="K35" s="291">
        <v>0.23684210526315788</v>
      </c>
      <c r="L35" s="292">
        <v>0.0</v>
      </c>
      <c r="M35" s="208">
        <v>0.0</v>
      </c>
      <c r="N35" s="208"/>
      <c r="O35" s="208">
        <v>0.0</v>
      </c>
      <c r="P35" s="293"/>
      <c r="S35" s="294"/>
      <c r="T35" s="294"/>
      <c r="U35" s="294"/>
      <c r="V35" s="295"/>
      <c r="W35" s="295"/>
    </row>
    <row r="36">
      <c r="A36" s="296" t="s">
        <v>146</v>
      </c>
      <c r="B36" s="289">
        <v>927.0</v>
      </c>
      <c r="C36" s="290" t="s">
        <v>156</v>
      </c>
      <c r="D36" s="36">
        <v>233.0</v>
      </c>
      <c r="E36" s="291">
        <v>0.0</v>
      </c>
      <c r="F36" s="208">
        <v>0.4978540772532189</v>
      </c>
      <c r="G36" s="291">
        <v>0.030042918454935622</v>
      </c>
      <c r="H36" s="208">
        <v>0.3261802575107296</v>
      </c>
      <c r="I36" s="208">
        <v>0.2575107296137339</v>
      </c>
      <c r="J36" s="208">
        <v>0.721030042918455</v>
      </c>
      <c r="K36" s="291">
        <v>0.02145922746781116</v>
      </c>
      <c r="L36" s="292">
        <v>0.0</v>
      </c>
      <c r="M36" s="208">
        <v>0.0</v>
      </c>
      <c r="N36" s="208"/>
      <c r="O36" s="208">
        <v>0.0</v>
      </c>
      <c r="P36" s="293"/>
      <c r="S36" s="294"/>
      <c r="T36" s="294"/>
      <c r="U36" s="294"/>
      <c r="V36" s="295"/>
      <c r="W36" s="295"/>
    </row>
    <row r="37">
      <c r="A37" s="289" t="s">
        <v>146</v>
      </c>
      <c r="B37" s="289">
        <v>853.0</v>
      </c>
      <c r="C37" s="306" t="s">
        <v>147</v>
      </c>
      <c r="D37" s="36">
        <v>416.0</v>
      </c>
      <c r="E37" s="291">
        <v>0.8581730769230769</v>
      </c>
      <c r="F37" s="208">
        <v>0.8100961538461539</v>
      </c>
      <c r="G37" s="291">
        <v>0.004807692307692308</v>
      </c>
      <c r="H37" s="208">
        <v>0.17307692307692307</v>
      </c>
      <c r="I37" s="208">
        <v>0.7067307692307693</v>
      </c>
      <c r="J37" s="208">
        <v>0.23557692307692307</v>
      </c>
      <c r="K37" s="291">
        <v>0.057692307692307696</v>
      </c>
      <c r="L37" s="292">
        <v>0.008902077151335312</v>
      </c>
      <c r="M37" s="208">
        <v>0.75</v>
      </c>
      <c r="N37" s="208"/>
      <c r="O37" s="208">
        <v>0.75</v>
      </c>
      <c r="P37" s="293"/>
      <c r="S37" s="294"/>
      <c r="T37" s="294"/>
      <c r="U37" s="294"/>
      <c r="V37" s="295"/>
      <c r="W37" s="295"/>
    </row>
    <row r="38">
      <c r="A38" s="289" t="s">
        <v>146</v>
      </c>
      <c r="B38" s="289">
        <v>857.0</v>
      </c>
      <c r="C38" s="306" t="s">
        <v>158</v>
      </c>
      <c r="D38" s="36">
        <v>460.0</v>
      </c>
      <c r="E38" s="291">
        <v>0.8543478260869565</v>
      </c>
      <c r="F38" s="208">
        <v>0.8326086956521739</v>
      </c>
      <c r="G38" s="291">
        <v>0.017391304347826087</v>
      </c>
      <c r="H38" s="208">
        <v>0.13695652173913042</v>
      </c>
      <c r="I38" s="208">
        <v>0.7739130434782608</v>
      </c>
      <c r="J38" s="208">
        <v>0.09130434782608696</v>
      </c>
      <c r="K38" s="291">
        <v>0.13478260869565217</v>
      </c>
      <c r="L38" s="292">
        <v>0.0026109660574412533</v>
      </c>
      <c r="M38" s="208">
        <v>1.0</v>
      </c>
      <c r="N38" s="208"/>
      <c r="O38" s="208">
        <v>0.0</v>
      </c>
      <c r="P38" s="293"/>
      <c r="S38" s="294"/>
      <c r="T38" s="294"/>
      <c r="U38" s="294"/>
      <c r="V38" s="295"/>
      <c r="W38" s="295"/>
    </row>
    <row r="39">
      <c r="A39" s="307"/>
      <c r="B39" s="307"/>
      <c r="C39" s="2" t="s">
        <v>67</v>
      </c>
      <c r="D39" s="247">
        <v>1489115.0</v>
      </c>
      <c r="E39" s="53">
        <v>0.8292092954540112</v>
      </c>
      <c r="F39" s="308">
        <v>0.6569606779865893</v>
      </c>
      <c r="G39" s="53">
        <v>0.05538860329793199</v>
      </c>
      <c r="H39" s="308">
        <v>0.22553261500958624</v>
      </c>
      <c r="I39" s="308">
        <v>0.7404075575089902</v>
      </c>
      <c r="J39" s="308">
        <v>0.09287529841550182</v>
      </c>
      <c r="K39" s="53">
        <v>0.16671714407550794</v>
      </c>
      <c r="L39" s="309">
        <v>0.0949626388903086</v>
      </c>
      <c r="M39" s="308">
        <v>0.7920961759815833</v>
      </c>
      <c r="N39" s="308"/>
      <c r="O39" s="308">
        <v>0.9201176621051286</v>
      </c>
      <c r="P39" s="293"/>
    </row>
    <row r="40">
      <c r="A40" s="307"/>
      <c r="B40" s="307"/>
      <c r="L40" s="309"/>
      <c r="M40" s="218"/>
      <c r="N40" s="218"/>
      <c r="O40" s="218"/>
      <c r="P40" s="260"/>
    </row>
    <row r="41">
      <c r="A41" s="307"/>
      <c r="B41" s="307"/>
      <c r="M41" s="218"/>
      <c r="N41" s="218"/>
      <c r="O41" s="218"/>
      <c r="P41" s="260"/>
    </row>
    <row r="42">
      <c r="A42" s="307"/>
      <c r="B42" s="307"/>
      <c r="P42" s="260"/>
    </row>
    <row r="43">
      <c r="A43" s="307"/>
      <c r="B43" s="307"/>
      <c r="P43" s="260"/>
    </row>
    <row r="44">
      <c r="A44" s="307"/>
      <c r="B44" s="307"/>
      <c r="P44" s="260"/>
    </row>
    <row r="45">
      <c r="A45" s="307"/>
      <c r="B45" s="307"/>
      <c r="P45" s="260"/>
    </row>
    <row r="46">
      <c r="A46" s="307"/>
      <c r="B46" s="307"/>
      <c r="P46" s="260"/>
    </row>
    <row r="47">
      <c r="A47" s="307"/>
      <c r="B47" s="307"/>
      <c r="P47" s="260"/>
    </row>
    <row r="48">
      <c r="A48" s="307"/>
      <c r="B48" s="307"/>
      <c r="P48" s="260"/>
    </row>
    <row r="49">
      <c r="A49" s="307"/>
      <c r="B49" s="307"/>
      <c r="P49" s="260"/>
    </row>
    <row r="50">
      <c r="A50" s="307"/>
      <c r="B50" s="307"/>
      <c r="P50" s="260"/>
    </row>
    <row r="51">
      <c r="A51" s="307"/>
      <c r="B51" s="307"/>
      <c r="P51" s="260"/>
    </row>
    <row r="52">
      <c r="A52" s="307"/>
      <c r="B52" s="307"/>
      <c r="P52" s="260"/>
    </row>
    <row r="53">
      <c r="A53" s="307"/>
      <c r="B53" s="307"/>
      <c r="P53" s="260"/>
    </row>
    <row r="54">
      <c r="A54" s="307"/>
      <c r="B54" s="307"/>
      <c r="P54" s="260"/>
    </row>
    <row r="55">
      <c r="A55" s="307"/>
      <c r="B55" s="307"/>
      <c r="P55" s="260"/>
    </row>
    <row r="56">
      <c r="A56" s="307"/>
      <c r="B56" s="307"/>
      <c r="P56" s="260"/>
    </row>
    <row r="57">
      <c r="A57" s="307"/>
      <c r="B57" s="307"/>
      <c r="P57" s="260"/>
    </row>
    <row r="58">
      <c r="A58" s="307"/>
      <c r="B58" s="307"/>
      <c r="P58" s="260"/>
    </row>
    <row r="59">
      <c r="A59" s="307"/>
      <c r="B59" s="307"/>
      <c r="P59" s="260"/>
    </row>
    <row r="60">
      <c r="A60" s="307"/>
      <c r="B60" s="307"/>
      <c r="P60" s="260"/>
    </row>
    <row r="61">
      <c r="A61" s="307"/>
      <c r="B61" s="307"/>
      <c r="P61" s="260"/>
    </row>
    <row r="62">
      <c r="A62" s="307"/>
      <c r="B62" s="307"/>
      <c r="P62" s="260"/>
    </row>
    <row r="63">
      <c r="A63" s="307"/>
      <c r="B63" s="307"/>
      <c r="P63" s="260"/>
    </row>
    <row r="64">
      <c r="A64" s="307"/>
      <c r="B64" s="307"/>
      <c r="P64" s="260"/>
    </row>
    <row r="65">
      <c r="A65" s="307"/>
      <c r="B65" s="307"/>
      <c r="P65" s="260"/>
    </row>
    <row r="66">
      <c r="A66" s="307"/>
      <c r="B66" s="307"/>
      <c r="P66" s="260"/>
    </row>
    <row r="67">
      <c r="A67" s="307"/>
      <c r="B67" s="307"/>
      <c r="P67" s="260"/>
    </row>
    <row r="68">
      <c r="A68" s="307"/>
      <c r="B68" s="307"/>
      <c r="P68" s="260"/>
    </row>
    <row r="69">
      <c r="A69" s="307"/>
      <c r="B69" s="307"/>
      <c r="P69" s="260"/>
    </row>
    <row r="70">
      <c r="A70" s="307"/>
      <c r="B70" s="307"/>
      <c r="P70" s="260"/>
    </row>
    <row r="71">
      <c r="A71" s="307"/>
      <c r="B71" s="307"/>
      <c r="P71" s="260"/>
    </row>
    <row r="72">
      <c r="A72" s="307"/>
      <c r="B72" s="307"/>
      <c r="P72" s="260"/>
    </row>
    <row r="73">
      <c r="A73" s="307"/>
      <c r="B73" s="307"/>
      <c r="P73" s="260"/>
    </row>
    <row r="74">
      <c r="A74" s="307"/>
      <c r="B74" s="307"/>
      <c r="P74" s="260"/>
    </row>
    <row r="75">
      <c r="A75" s="307"/>
      <c r="B75" s="307"/>
      <c r="P75" s="260"/>
    </row>
    <row r="76">
      <c r="A76" s="307"/>
      <c r="B76" s="307"/>
      <c r="P76" s="260"/>
    </row>
    <row r="77">
      <c r="A77" s="307"/>
      <c r="B77" s="307"/>
      <c r="P77" s="260"/>
    </row>
    <row r="78">
      <c r="A78" s="307"/>
      <c r="B78" s="307"/>
      <c r="P78" s="260"/>
    </row>
    <row r="79">
      <c r="A79" s="307"/>
      <c r="B79" s="307"/>
      <c r="P79" s="260"/>
    </row>
    <row r="80">
      <c r="A80" s="307"/>
      <c r="B80" s="307"/>
      <c r="P80" s="260"/>
    </row>
    <row r="81">
      <c r="A81" s="307"/>
      <c r="B81" s="307"/>
      <c r="P81" s="260"/>
    </row>
    <row r="82">
      <c r="A82" s="307"/>
      <c r="B82" s="307"/>
      <c r="P82" s="260"/>
    </row>
    <row r="83">
      <c r="A83" s="307"/>
      <c r="B83" s="307"/>
      <c r="P83" s="260"/>
    </row>
    <row r="84">
      <c r="A84" s="307"/>
      <c r="B84" s="307"/>
      <c r="P84" s="260"/>
    </row>
    <row r="85">
      <c r="A85" s="307"/>
      <c r="B85" s="307"/>
      <c r="P85" s="260"/>
    </row>
    <row r="86">
      <c r="A86" s="307"/>
      <c r="B86" s="307"/>
      <c r="P86" s="260"/>
    </row>
    <row r="87">
      <c r="A87" s="307"/>
      <c r="B87" s="307"/>
      <c r="P87" s="260"/>
    </row>
    <row r="88">
      <c r="A88" s="307"/>
      <c r="B88" s="307"/>
      <c r="P88" s="260"/>
    </row>
    <row r="89">
      <c r="A89" s="307"/>
      <c r="B89" s="307"/>
      <c r="P89" s="260"/>
    </row>
    <row r="90">
      <c r="A90" s="307"/>
      <c r="B90" s="307"/>
      <c r="P90" s="260"/>
    </row>
    <row r="91">
      <c r="A91" s="307"/>
      <c r="B91" s="307"/>
      <c r="P91" s="260"/>
    </row>
    <row r="92">
      <c r="A92" s="307"/>
      <c r="B92" s="307"/>
      <c r="P92" s="260"/>
    </row>
    <row r="93">
      <c r="A93" s="307"/>
      <c r="B93" s="307"/>
      <c r="P93" s="260"/>
    </row>
    <row r="94">
      <c r="A94" s="307"/>
      <c r="B94" s="307"/>
      <c r="P94" s="260"/>
    </row>
    <row r="95">
      <c r="A95" s="307"/>
      <c r="B95" s="307"/>
      <c r="P95" s="260"/>
    </row>
    <row r="96">
      <c r="A96" s="307"/>
      <c r="B96" s="307"/>
      <c r="P96" s="260"/>
    </row>
    <row r="97">
      <c r="A97" s="307"/>
      <c r="B97" s="307"/>
      <c r="P97" s="260"/>
    </row>
    <row r="98">
      <c r="A98" s="307"/>
      <c r="B98" s="307"/>
      <c r="P98" s="260"/>
    </row>
    <row r="99">
      <c r="A99" s="307"/>
      <c r="B99" s="307"/>
      <c r="P99" s="260"/>
    </row>
    <row r="100">
      <c r="A100" s="307"/>
      <c r="B100" s="307"/>
      <c r="P100" s="260"/>
    </row>
    <row r="101">
      <c r="A101" s="307"/>
      <c r="B101" s="307"/>
      <c r="P101" s="260"/>
    </row>
    <row r="102">
      <c r="A102" s="307"/>
      <c r="B102" s="307"/>
      <c r="P102" s="260"/>
    </row>
    <row r="103">
      <c r="A103" s="307"/>
      <c r="B103" s="307"/>
      <c r="P103" s="260"/>
    </row>
    <row r="104">
      <c r="A104" s="307"/>
      <c r="B104" s="307"/>
      <c r="P104" s="260"/>
    </row>
    <row r="105">
      <c r="A105" s="307"/>
      <c r="B105" s="307"/>
      <c r="P105" s="260"/>
    </row>
    <row r="106">
      <c r="A106" s="307"/>
      <c r="B106" s="307"/>
      <c r="P106" s="260"/>
    </row>
    <row r="107">
      <c r="A107" s="307"/>
      <c r="B107" s="307"/>
      <c r="P107" s="260"/>
    </row>
    <row r="108">
      <c r="A108" s="307"/>
      <c r="B108" s="307"/>
      <c r="P108" s="260"/>
    </row>
    <row r="109">
      <c r="A109" s="307"/>
      <c r="B109" s="307"/>
      <c r="P109" s="260"/>
    </row>
    <row r="110">
      <c r="A110" s="307"/>
      <c r="B110" s="307"/>
      <c r="P110" s="260"/>
    </row>
    <row r="111">
      <c r="A111" s="307"/>
      <c r="B111" s="307"/>
      <c r="P111" s="260"/>
    </row>
    <row r="112">
      <c r="A112" s="307"/>
      <c r="B112" s="307"/>
      <c r="P112" s="260"/>
    </row>
    <row r="113">
      <c r="A113" s="307"/>
      <c r="B113" s="307"/>
      <c r="P113" s="260"/>
    </row>
    <row r="114">
      <c r="A114" s="307"/>
      <c r="B114" s="307"/>
      <c r="P114" s="260"/>
    </row>
    <row r="115">
      <c r="A115" s="307"/>
      <c r="B115" s="307"/>
      <c r="P115" s="260"/>
    </row>
    <row r="116">
      <c r="A116" s="307"/>
      <c r="B116" s="307"/>
      <c r="P116" s="260"/>
    </row>
    <row r="117">
      <c r="A117" s="307"/>
      <c r="B117" s="307"/>
      <c r="P117" s="260"/>
    </row>
    <row r="118">
      <c r="A118" s="307"/>
      <c r="B118" s="307"/>
      <c r="P118" s="260"/>
    </row>
    <row r="119">
      <c r="A119" s="307"/>
      <c r="B119" s="307"/>
      <c r="P119" s="260"/>
    </row>
    <row r="120">
      <c r="A120" s="307"/>
      <c r="B120" s="307"/>
      <c r="P120" s="260"/>
    </row>
    <row r="121">
      <c r="A121" s="307"/>
      <c r="B121" s="307"/>
      <c r="P121" s="260"/>
    </row>
    <row r="122">
      <c r="A122" s="307"/>
      <c r="B122" s="307"/>
      <c r="P122" s="260"/>
    </row>
    <row r="123">
      <c r="A123" s="307"/>
      <c r="B123" s="307"/>
      <c r="P123" s="260"/>
    </row>
    <row r="124">
      <c r="A124" s="307"/>
      <c r="B124" s="307"/>
      <c r="P124" s="260"/>
    </row>
    <row r="125">
      <c r="A125" s="307"/>
      <c r="B125" s="307"/>
      <c r="P125" s="260"/>
    </row>
    <row r="126">
      <c r="A126" s="307"/>
      <c r="B126" s="307"/>
      <c r="P126" s="260"/>
    </row>
    <row r="127">
      <c r="A127" s="307"/>
      <c r="B127" s="307"/>
      <c r="P127" s="260"/>
    </row>
    <row r="128">
      <c r="A128" s="307"/>
      <c r="B128" s="307"/>
      <c r="P128" s="260"/>
    </row>
    <row r="129">
      <c r="A129" s="307"/>
      <c r="B129" s="307"/>
      <c r="P129" s="260"/>
    </row>
    <row r="130">
      <c r="A130" s="307"/>
      <c r="B130" s="307"/>
      <c r="P130" s="260"/>
    </row>
    <row r="131">
      <c r="A131" s="307"/>
      <c r="B131" s="307"/>
      <c r="P131" s="260"/>
    </row>
    <row r="132">
      <c r="A132" s="307"/>
      <c r="B132" s="307"/>
      <c r="P132" s="260"/>
    </row>
    <row r="133">
      <c r="A133" s="307"/>
      <c r="B133" s="307"/>
      <c r="P133" s="260"/>
    </row>
    <row r="134">
      <c r="A134" s="307"/>
      <c r="B134" s="307"/>
      <c r="P134" s="260"/>
    </row>
    <row r="135">
      <c r="A135" s="307"/>
      <c r="B135" s="307"/>
      <c r="P135" s="260"/>
    </row>
    <row r="136">
      <c r="A136" s="307"/>
      <c r="B136" s="307"/>
      <c r="P136" s="260"/>
    </row>
    <row r="137">
      <c r="A137" s="307"/>
      <c r="B137" s="307"/>
      <c r="P137" s="260"/>
    </row>
    <row r="138">
      <c r="A138" s="307"/>
      <c r="B138" s="307"/>
      <c r="P138" s="260"/>
    </row>
    <row r="139">
      <c r="A139" s="307"/>
      <c r="B139" s="307"/>
      <c r="P139" s="260"/>
    </row>
    <row r="140">
      <c r="A140" s="307"/>
      <c r="B140" s="307"/>
      <c r="P140" s="260"/>
    </row>
    <row r="141">
      <c r="A141" s="307"/>
      <c r="B141" s="307"/>
      <c r="P141" s="260"/>
    </row>
    <row r="142">
      <c r="A142" s="307"/>
      <c r="B142" s="307"/>
      <c r="P142" s="260"/>
    </row>
    <row r="143">
      <c r="A143" s="307"/>
      <c r="B143" s="307"/>
      <c r="P143" s="260"/>
    </row>
    <row r="144">
      <c r="A144" s="307"/>
      <c r="B144" s="307"/>
      <c r="P144" s="260"/>
    </row>
    <row r="145">
      <c r="A145" s="307"/>
      <c r="B145" s="307"/>
      <c r="P145" s="260"/>
    </row>
    <row r="146">
      <c r="A146" s="307"/>
      <c r="B146" s="307"/>
      <c r="P146" s="260"/>
    </row>
    <row r="147">
      <c r="A147" s="307"/>
      <c r="B147" s="307"/>
      <c r="P147" s="260"/>
    </row>
    <row r="148">
      <c r="A148" s="307"/>
      <c r="B148" s="307"/>
      <c r="P148" s="260"/>
    </row>
    <row r="149">
      <c r="A149" s="307"/>
      <c r="B149" s="307"/>
      <c r="P149" s="260"/>
    </row>
    <row r="150">
      <c r="A150" s="307"/>
      <c r="B150" s="307"/>
      <c r="P150" s="260"/>
    </row>
    <row r="151">
      <c r="A151" s="307"/>
      <c r="B151" s="307"/>
      <c r="P151" s="260"/>
    </row>
    <row r="152">
      <c r="A152" s="307"/>
      <c r="B152" s="307"/>
      <c r="P152" s="260"/>
    </row>
    <row r="153">
      <c r="A153" s="307"/>
      <c r="B153" s="307"/>
      <c r="P153" s="260"/>
    </row>
    <row r="154">
      <c r="A154" s="307"/>
      <c r="B154" s="307"/>
      <c r="P154" s="260"/>
    </row>
    <row r="155">
      <c r="A155" s="307"/>
      <c r="B155" s="307"/>
      <c r="P155" s="260"/>
    </row>
    <row r="156">
      <c r="A156" s="307"/>
      <c r="B156" s="307"/>
      <c r="P156" s="260"/>
    </row>
    <row r="157">
      <c r="A157" s="307"/>
      <c r="B157" s="307"/>
      <c r="P157" s="260"/>
    </row>
    <row r="158">
      <c r="A158" s="307"/>
      <c r="B158" s="307"/>
      <c r="P158" s="260"/>
    </row>
    <row r="159">
      <c r="A159" s="307"/>
      <c r="B159" s="307"/>
      <c r="P159" s="260"/>
    </row>
    <row r="160">
      <c r="A160" s="307"/>
      <c r="B160" s="307"/>
      <c r="P160" s="260"/>
    </row>
    <row r="161">
      <c r="A161" s="307"/>
      <c r="B161" s="307"/>
      <c r="P161" s="260"/>
    </row>
    <row r="162">
      <c r="A162" s="307"/>
      <c r="B162" s="307"/>
      <c r="P162" s="260"/>
    </row>
    <row r="163">
      <c r="A163" s="307"/>
      <c r="B163" s="307"/>
      <c r="P163" s="260"/>
    </row>
    <row r="164">
      <c r="A164" s="307"/>
      <c r="B164" s="307"/>
      <c r="P164" s="260"/>
    </row>
    <row r="165">
      <c r="A165" s="307"/>
      <c r="B165" s="307"/>
      <c r="P165" s="260"/>
    </row>
    <row r="166">
      <c r="A166" s="307"/>
      <c r="B166" s="307"/>
      <c r="P166" s="260"/>
    </row>
    <row r="167">
      <c r="A167" s="307"/>
      <c r="B167" s="307"/>
      <c r="P167" s="260"/>
    </row>
    <row r="168">
      <c r="A168" s="307"/>
      <c r="B168" s="307"/>
      <c r="P168" s="260"/>
    </row>
    <row r="169">
      <c r="A169" s="307"/>
      <c r="B169" s="307"/>
      <c r="P169" s="260"/>
    </row>
    <row r="170">
      <c r="A170" s="307"/>
      <c r="B170" s="307"/>
      <c r="P170" s="260"/>
    </row>
    <row r="171">
      <c r="A171" s="307"/>
      <c r="B171" s="307"/>
      <c r="P171" s="260"/>
    </row>
    <row r="172">
      <c r="A172" s="307"/>
      <c r="B172" s="307"/>
      <c r="P172" s="260"/>
    </row>
    <row r="173">
      <c r="A173" s="307"/>
      <c r="B173" s="307"/>
      <c r="P173" s="260"/>
    </row>
    <row r="174">
      <c r="A174" s="307"/>
      <c r="B174" s="307"/>
      <c r="P174" s="260"/>
    </row>
    <row r="175">
      <c r="A175" s="307"/>
      <c r="B175" s="307"/>
      <c r="P175" s="260"/>
    </row>
    <row r="176">
      <c r="A176" s="307"/>
      <c r="B176" s="307"/>
      <c r="P176" s="260"/>
    </row>
    <row r="177">
      <c r="A177" s="307"/>
      <c r="B177" s="307"/>
      <c r="P177" s="260"/>
    </row>
    <row r="178">
      <c r="A178" s="307"/>
      <c r="B178" s="307"/>
      <c r="P178" s="260"/>
    </row>
    <row r="179">
      <c r="A179" s="307"/>
      <c r="B179" s="307"/>
      <c r="P179" s="260"/>
    </row>
    <row r="180">
      <c r="A180" s="307"/>
      <c r="B180" s="307"/>
      <c r="P180" s="260"/>
    </row>
    <row r="181">
      <c r="A181" s="307"/>
      <c r="B181" s="307"/>
      <c r="P181" s="260"/>
    </row>
    <row r="182">
      <c r="A182" s="307"/>
      <c r="B182" s="307"/>
      <c r="P182" s="260"/>
    </row>
    <row r="183">
      <c r="A183" s="307"/>
      <c r="B183" s="307"/>
      <c r="P183" s="260"/>
    </row>
    <row r="184">
      <c r="A184" s="307"/>
      <c r="B184" s="307"/>
      <c r="P184" s="260"/>
    </row>
    <row r="185">
      <c r="A185" s="307"/>
      <c r="B185" s="307"/>
      <c r="P185" s="260"/>
    </row>
    <row r="186">
      <c r="A186" s="307"/>
      <c r="B186" s="307"/>
      <c r="P186" s="260"/>
    </row>
    <row r="187">
      <c r="A187" s="307"/>
      <c r="B187" s="307"/>
      <c r="P187" s="260"/>
    </row>
    <row r="188">
      <c r="A188" s="307"/>
      <c r="B188" s="307"/>
      <c r="P188" s="260"/>
    </row>
    <row r="189">
      <c r="A189" s="307"/>
      <c r="B189" s="307"/>
      <c r="P189" s="260"/>
    </row>
    <row r="190">
      <c r="A190" s="307"/>
      <c r="B190" s="307"/>
      <c r="P190" s="260"/>
    </row>
    <row r="191">
      <c r="A191" s="307"/>
      <c r="B191" s="307"/>
      <c r="P191" s="260"/>
    </row>
    <row r="192">
      <c r="A192" s="307"/>
      <c r="B192" s="307"/>
      <c r="P192" s="260"/>
    </row>
    <row r="193">
      <c r="A193" s="307"/>
      <c r="B193" s="307"/>
      <c r="P193" s="260"/>
    </row>
    <row r="194">
      <c r="A194" s="307"/>
      <c r="B194" s="307"/>
      <c r="P194" s="260"/>
    </row>
    <row r="195">
      <c r="A195" s="307"/>
      <c r="B195" s="307"/>
      <c r="P195" s="260"/>
    </row>
    <row r="196">
      <c r="A196" s="307"/>
      <c r="B196" s="307"/>
      <c r="P196" s="260"/>
    </row>
    <row r="197">
      <c r="A197" s="307"/>
      <c r="B197" s="307"/>
      <c r="P197" s="260"/>
    </row>
    <row r="198">
      <c r="A198" s="307"/>
      <c r="B198" s="307"/>
      <c r="P198" s="260"/>
    </row>
    <row r="199">
      <c r="A199" s="307"/>
      <c r="B199" s="307"/>
      <c r="P199" s="260"/>
    </row>
    <row r="200">
      <c r="A200" s="307"/>
      <c r="B200" s="307"/>
      <c r="P200" s="260"/>
    </row>
    <row r="201">
      <c r="A201" s="307"/>
      <c r="B201" s="307"/>
      <c r="P201" s="260"/>
    </row>
    <row r="202">
      <c r="A202" s="307"/>
      <c r="B202" s="307"/>
      <c r="P202" s="260"/>
    </row>
    <row r="203">
      <c r="A203" s="307"/>
      <c r="B203" s="307"/>
      <c r="P203" s="260"/>
    </row>
    <row r="204">
      <c r="A204" s="307"/>
      <c r="B204" s="307"/>
      <c r="P204" s="260"/>
    </row>
    <row r="205">
      <c r="A205" s="307"/>
      <c r="B205" s="307"/>
      <c r="P205" s="260"/>
    </row>
    <row r="206">
      <c r="A206" s="307"/>
      <c r="B206" s="307"/>
      <c r="P206" s="260"/>
    </row>
    <row r="207">
      <c r="A207" s="307"/>
      <c r="B207" s="307"/>
      <c r="P207" s="260"/>
    </row>
    <row r="208">
      <c r="A208" s="307"/>
      <c r="B208" s="307"/>
      <c r="P208" s="260"/>
    </row>
    <row r="209">
      <c r="A209" s="307"/>
      <c r="B209" s="307"/>
      <c r="P209" s="260"/>
    </row>
    <row r="210">
      <c r="A210" s="307"/>
      <c r="B210" s="307"/>
      <c r="P210" s="260"/>
    </row>
    <row r="211">
      <c r="A211" s="307"/>
      <c r="B211" s="307"/>
      <c r="P211" s="260"/>
    </row>
    <row r="212">
      <c r="A212" s="307"/>
      <c r="B212" s="307"/>
      <c r="P212" s="260"/>
    </row>
    <row r="213">
      <c r="A213" s="307"/>
      <c r="B213" s="307"/>
      <c r="P213" s="260"/>
    </row>
    <row r="214">
      <c r="A214" s="307"/>
      <c r="B214" s="307"/>
      <c r="P214" s="260"/>
    </row>
    <row r="215">
      <c r="A215" s="307"/>
      <c r="B215" s="307"/>
      <c r="P215" s="260"/>
    </row>
    <row r="216">
      <c r="A216" s="307"/>
      <c r="B216" s="307"/>
      <c r="P216" s="260"/>
    </row>
    <row r="217">
      <c r="A217" s="307"/>
      <c r="B217" s="307"/>
      <c r="P217" s="260"/>
    </row>
    <row r="218">
      <c r="A218" s="307"/>
      <c r="B218" s="307"/>
      <c r="P218" s="260"/>
    </row>
    <row r="219">
      <c r="A219" s="307"/>
      <c r="B219" s="307"/>
      <c r="P219" s="260"/>
    </row>
    <row r="220">
      <c r="A220" s="307"/>
      <c r="B220" s="307"/>
      <c r="P220" s="260"/>
    </row>
    <row r="221">
      <c r="A221" s="307"/>
      <c r="B221" s="307"/>
      <c r="P221" s="260"/>
    </row>
    <row r="222">
      <c r="A222" s="307"/>
      <c r="B222" s="307"/>
      <c r="P222" s="260"/>
    </row>
    <row r="223">
      <c r="A223" s="307"/>
      <c r="B223" s="307"/>
      <c r="P223" s="260"/>
    </row>
    <row r="224">
      <c r="A224" s="307"/>
      <c r="B224" s="307"/>
      <c r="P224" s="260"/>
    </row>
    <row r="225">
      <c r="A225" s="307"/>
      <c r="B225" s="307"/>
      <c r="P225" s="260"/>
    </row>
    <row r="226">
      <c r="A226" s="307"/>
      <c r="B226" s="307"/>
      <c r="P226" s="260"/>
    </row>
    <row r="227">
      <c r="A227" s="307"/>
      <c r="B227" s="307"/>
      <c r="P227" s="260"/>
    </row>
    <row r="228">
      <c r="A228" s="307"/>
      <c r="B228" s="307"/>
      <c r="P228" s="260"/>
    </row>
    <row r="229">
      <c r="A229" s="307"/>
      <c r="B229" s="307"/>
      <c r="P229" s="260"/>
    </row>
    <row r="230">
      <c r="A230" s="307"/>
      <c r="B230" s="307"/>
      <c r="P230" s="260"/>
    </row>
    <row r="231">
      <c r="A231" s="307"/>
      <c r="B231" s="307"/>
      <c r="P231" s="260"/>
    </row>
    <row r="232">
      <c r="A232" s="307"/>
      <c r="B232" s="307"/>
      <c r="P232" s="260"/>
    </row>
    <row r="233">
      <c r="A233" s="307"/>
      <c r="B233" s="307"/>
      <c r="P233" s="260"/>
    </row>
    <row r="234">
      <c r="A234" s="307"/>
      <c r="B234" s="307"/>
      <c r="P234" s="260"/>
    </row>
    <row r="235">
      <c r="A235" s="307"/>
      <c r="B235" s="307"/>
      <c r="P235" s="260"/>
    </row>
    <row r="236">
      <c r="A236" s="307"/>
      <c r="B236" s="307"/>
      <c r="P236" s="260"/>
    </row>
    <row r="237">
      <c r="A237" s="307"/>
      <c r="B237" s="307"/>
      <c r="P237" s="260"/>
    </row>
    <row r="238">
      <c r="A238" s="307"/>
      <c r="B238" s="307"/>
      <c r="P238" s="260"/>
    </row>
    <row r="239">
      <c r="A239" s="307"/>
      <c r="B239" s="307"/>
      <c r="P239" s="260"/>
    </row>
    <row r="240">
      <c r="A240" s="307"/>
      <c r="B240" s="307"/>
      <c r="P240" s="260"/>
    </row>
    <row r="241">
      <c r="A241" s="307"/>
      <c r="B241" s="307"/>
      <c r="P241" s="260"/>
    </row>
    <row r="242">
      <c r="A242" s="307"/>
      <c r="B242" s="307"/>
      <c r="P242" s="260"/>
    </row>
    <row r="243">
      <c r="A243" s="307"/>
      <c r="B243" s="307"/>
      <c r="P243" s="260"/>
    </row>
    <row r="244">
      <c r="A244" s="307"/>
      <c r="B244" s="307"/>
      <c r="P244" s="260"/>
    </row>
    <row r="245">
      <c r="A245" s="307"/>
      <c r="B245" s="307"/>
      <c r="P245" s="260"/>
    </row>
    <row r="246">
      <c r="A246" s="307"/>
      <c r="B246" s="307"/>
      <c r="P246" s="260"/>
    </row>
    <row r="247">
      <c r="A247" s="307"/>
      <c r="B247" s="307"/>
      <c r="P247" s="260"/>
    </row>
    <row r="248">
      <c r="A248" s="307"/>
      <c r="B248" s="307"/>
      <c r="P248" s="260"/>
    </row>
    <row r="249">
      <c r="A249" s="307"/>
      <c r="B249" s="307"/>
      <c r="P249" s="260"/>
    </row>
    <row r="250">
      <c r="A250" s="307"/>
      <c r="B250" s="307"/>
      <c r="P250" s="260"/>
    </row>
    <row r="251">
      <c r="A251" s="307"/>
      <c r="B251" s="307"/>
      <c r="P251" s="260"/>
    </row>
    <row r="252">
      <c r="A252" s="307"/>
      <c r="B252" s="307"/>
      <c r="P252" s="260"/>
    </row>
    <row r="253">
      <c r="A253" s="307"/>
      <c r="B253" s="307"/>
      <c r="P253" s="260"/>
    </row>
    <row r="254">
      <c r="A254" s="307"/>
      <c r="B254" s="307"/>
      <c r="P254" s="260"/>
    </row>
    <row r="255">
      <c r="A255" s="307"/>
      <c r="B255" s="307"/>
      <c r="P255" s="260"/>
    </row>
    <row r="256">
      <c r="A256" s="307"/>
      <c r="B256" s="307"/>
      <c r="P256" s="260"/>
    </row>
    <row r="257">
      <c r="A257" s="307"/>
      <c r="B257" s="307"/>
      <c r="P257" s="260"/>
    </row>
    <row r="258">
      <c r="A258" s="307"/>
      <c r="B258" s="307"/>
      <c r="P258" s="260"/>
    </row>
    <row r="259">
      <c r="A259" s="307"/>
      <c r="B259" s="307"/>
      <c r="P259" s="260"/>
    </row>
    <row r="260">
      <c r="A260" s="307"/>
      <c r="B260" s="307"/>
      <c r="P260" s="260"/>
    </row>
    <row r="261">
      <c r="A261" s="307"/>
      <c r="B261" s="307"/>
      <c r="P261" s="260"/>
    </row>
    <row r="262">
      <c r="A262" s="307"/>
      <c r="B262" s="307"/>
      <c r="P262" s="260"/>
    </row>
    <row r="263">
      <c r="A263" s="307"/>
      <c r="B263" s="307"/>
      <c r="P263" s="260"/>
    </row>
    <row r="264">
      <c r="A264" s="307"/>
      <c r="B264" s="307"/>
      <c r="P264" s="260"/>
    </row>
    <row r="265">
      <c r="A265" s="307"/>
      <c r="B265" s="307"/>
      <c r="P265" s="260"/>
    </row>
    <row r="266">
      <c r="A266" s="307"/>
      <c r="B266" s="307"/>
      <c r="P266" s="260"/>
    </row>
    <row r="267">
      <c r="A267" s="307"/>
      <c r="B267" s="307"/>
      <c r="P267" s="260"/>
    </row>
    <row r="268">
      <c r="A268" s="307"/>
      <c r="B268" s="307"/>
      <c r="P268" s="260"/>
    </row>
    <row r="269">
      <c r="A269" s="307"/>
      <c r="B269" s="307"/>
      <c r="P269" s="260"/>
    </row>
    <row r="270">
      <c r="A270" s="307"/>
      <c r="B270" s="307"/>
      <c r="P270" s="260"/>
    </row>
    <row r="271">
      <c r="A271" s="307"/>
      <c r="B271" s="307"/>
      <c r="P271" s="260"/>
    </row>
    <row r="272">
      <c r="A272" s="307"/>
      <c r="B272" s="307"/>
      <c r="P272" s="260"/>
    </row>
    <row r="273">
      <c r="A273" s="307"/>
      <c r="B273" s="307"/>
      <c r="P273" s="260"/>
    </row>
    <row r="274">
      <c r="A274" s="307"/>
      <c r="B274" s="307"/>
      <c r="P274" s="260"/>
    </row>
    <row r="275">
      <c r="A275" s="307"/>
      <c r="B275" s="307"/>
      <c r="P275" s="260"/>
    </row>
    <row r="276">
      <c r="A276" s="307"/>
      <c r="B276" s="307"/>
      <c r="P276" s="260"/>
    </row>
    <row r="277">
      <c r="A277" s="307"/>
      <c r="B277" s="307"/>
      <c r="P277" s="260"/>
    </row>
    <row r="278">
      <c r="A278" s="307"/>
      <c r="B278" s="307"/>
      <c r="P278" s="260"/>
    </row>
    <row r="279">
      <c r="A279" s="307"/>
      <c r="B279" s="307"/>
      <c r="P279" s="260"/>
    </row>
    <row r="280">
      <c r="A280" s="307"/>
      <c r="B280" s="307"/>
      <c r="P280" s="260"/>
    </row>
    <row r="281">
      <c r="A281" s="307"/>
      <c r="B281" s="307"/>
      <c r="P281" s="260"/>
    </row>
    <row r="282">
      <c r="A282" s="307"/>
      <c r="B282" s="307"/>
      <c r="P282" s="260"/>
    </row>
    <row r="283">
      <c r="A283" s="307"/>
      <c r="B283" s="307"/>
      <c r="P283" s="260"/>
    </row>
    <row r="284">
      <c r="A284" s="307"/>
      <c r="B284" s="307"/>
      <c r="P284" s="260"/>
    </row>
    <row r="285">
      <c r="A285" s="307"/>
      <c r="B285" s="307"/>
      <c r="P285" s="260"/>
    </row>
    <row r="286">
      <c r="A286" s="307"/>
      <c r="B286" s="307"/>
      <c r="P286" s="260"/>
    </row>
    <row r="287">
      <c r="A287" s="307"/>
      <c r="B287" s="307"/>
      <c r="P287" s="260"/>
    </row>
    <row r="288">
      <c r="A288" s="307"/>
      <c r="B288" s="307"/>
      <c r="P288" s="260"/>
    </row>
    <row r="289">
      <c r="A289" s="307"/>
      <c r="B289" s="307"/>
      <c r="P289" s="260"/>
    </row>
    <row r="290">
      <c r="A290" s="307"/>
      <c r="B290" s="307"/>
      <c r="P290" s="260"/>
    </row>
    <row r="291">
      <c r="A291" s="307"/>
      <c r="B291" s="307"/>
      <c r="P291" s="260"/>
    </row>
    <row r="292">
      <c r="A292" s="307"/>
      <c r="B292" s="307"/>
      <c r="P292" s="260"/>
    </row>
    <row r="293">
      <c r="A293" s="307"/>
      <c r="B293" s="307"/>
      <c r="P293" s="260"/>
    </row>
    <row r="294">
      <c r="A294" s="307"/>
      <c r="B294" s="307"/>
      <c r="P294" s="260"/>
    </row>
    <row r="295">
      <c r="A295" s="307"/>
      <c r="B295" s="307"/>
      <c r="P295" s="260"/>
    </row>
    <row r="296">
      <c r="A296" s="307"/>
      <c r="B296" s="307"/>
      <c r="P296" s="260"/>
    </row>
    <row r="297">
      <c r="A297" s="307"/>
      <c r="B297" s="307"/>
      <c r="P297" s="260"/>
    </row>
    <row r="298">
      <c r="A298" s="307"/>
      <c r="B298" s="307"/>
      <c r="P298" s="260"/>
    </row>
    <row r="299">
      <c r="A299" s="307"/>
      <c r="B299" s="307"/>
      <c r="P299" s="260"/>
    </row>
    <row r="300">
      <c r="A300" s="307"/>
      <c r="B300" s="307"/>
      <c r="P300" s="260"/>
    </row>
    <row r="301">
      <c r="A301" s="307"/>
      <c r="B301" s="307"/>
      <c r="P301" s="260"/>
    </row>
    <row r="302">
      <c r="A302" s="307"/>
      <c r="B302" s="307"/>
      <c r="P302" s="260"/>
    </row>
    <row r="303">
      <c r="A303" s="307"/>
      <c r="B303" s="307"/>
      <c r="P303" s="260"/>
    </row>
    <row r="304">
      <c r="A304" s="307"/>
      <c r="B304" s="307"/>
      <c r="P304" s="260"/>
    </row>
    <row r="305">
      <c r="A305" s="307"/>
      <c r="B305" s="307"/>
      <c r="P305" s="260"/>
    </row>
    <row r="306">
      <c r="A306" s="307"/>
      <c r="B306" s="307"/>
      <c r="P306" s="260"/>
    </row>
    <row r="307">
      <c r="A307" s="307"/>
      <c r="B307" s="307"/>
      <c r="P307" s="260"/>
    </row>
    <row r="308">
      <c r="A308" s="307"/>
      <c r="B308" s="307"/>
      <c r="P308" s="260"/>
    </row>
    <row r="309">
      <c r="A309" s="307"/>
      <c r="B309" s="307"/>
      <c r="P309" s="260"/>
    </row>
    <row r="310">
      <c r="A310" s="307"/>
      <c r="B310" s="307"/>
      <c r="P310" s="260"/>
    </row>
    <row r="311">
      <c r="A311" s="307"/>
      <c r="B311" s="307"/>
      <c r="P311" s="260"/>
    </row>
    <row r="312">
      <c r="A312" s="307"/>
      <c r="B312" s="307"/>
      <c r="P312" s="260"/>
    </row>
    <row r="313">
      <c r="A313" s="307"/>
      <c r="B313" s="307"/>
      <c r="P313" s="260"/>
    </row>
    <row r="314">
      <c r="A314" s="307"/>
      <c r="B314" s="307"/>
      <c r="P314" s="260"/>
    </row>
    <row r="315">
      <c r="A315" s="307"/>
      <c r="B315" s="307"/>
      <c r="P315" s="260"/>
    </row>
    <row r="316">
      <c r="A316" s="307"/>
      <c r="B316" s="307"/>
      <c r="P316" s="260"/>
    </row>
    <row r="317">
      <c r="A317" s="307"/>
      <c r="B317" s="307"/>
      <c r="P317" s="260"/>
    </row>
    <row r="318">
      <c r="A318" s="307"/>
      <c r="B318" s="307"/>
      <c r="P318" s="260"/>
    </row>
    <row r="319">
      <c r="A319" s="307"/>
      <c r="B319" s="307"/>
      <c r="P319" s="260"/>
    </row>
    <row r="320">
      <c r="A320" s="307"/>
      <c r="B320" s="307"/>
      <c r="P320" s="260"/>
    </row>
    <row r="321">
      <c r="A321" s="307"/>
      <c r="B321" s="307"/>
      <c r="P321" s="260"/>
    </row>
    <row r="322">
      <c r="A322" s="307"/>
      <c r="B322" s="307"/>
      <c r="P322" s="260"/>
    </row>
    <row r="323">
      <c r="A323" s="307"/>
      <c r="B323" s="307"/>
      <c r="P323" s="260"/>
    </row>
    <row r="324">
      <c r="A324" s="307"/>
      <c r="B324" s="307"/>
      <c r="P324" s="260"/>
    </row>
    <row r="325">
      <c r="A325" s="307"/>
      <c r="B325" s="307"/>
      <c r="P325" s="260"/>
    </row>
    <row r="326">
      <c r="A326" s="307"/>
      <c r="B326" s="307"/>
      <c r="P326" s="260"/>
    </row>
    <row r="327">
      <c r="A327" s="307"/>
      <c r="B327" s="307"/>
      <c r="P327" s="260"/>
    </row>
    <row r="328">
      <c r="A328" s="307"/>
      <c r="B328" s="307"/>
      <c r="P328" s="260"/>
    </row>
    <row r="329">
      <c r="A329" s="307"/>
      <c r="B329" s="307"/>
      <c r="P329" s="260"/>
    </row>
    <row r="330">
      <c r="A330" s="307"/>
      <c r="B330" s="307"/>
      <c r="P330" s="260"/>
    </row>
    <row r="331">
      <c r="A331" s="307"/>
      <c r="B331" s="307"/>
      <c r="P331" s="260"/>
    </row>
    <row r="332">
      <c r="A332" s="307"/>
      <c r="B332" s="307"/>
      <c r="P332" s="260"/>
    </row>
    <row r="333">
      <c r="A333" s="307"/>
      <c r="B333" s="307"/>
      <c r="P333" s="260"/>
    </row>
    <row r="334">
      <c r="A334" s="307"/>
      <c r="B334" s="307"/>
      <c r="P334" s="260"/>
    </row>
    <row r="335">
      <c r="A335" s="307"/>
      <c r="B335" s="307"/>
      <c r="P335" s="260"/>
    </row>
    <row r="336">
      <c r="A336" s="307"/>
      <c r="B336" s="307"/>
      <c r="P336" s="260"/>
    </row>
    <row r="337">
      <c r="A337" s="307"/>
      <c r="B337" s="307"/>
      <c r="P337" s="260"/>
    </row>
    <row r="338">
      <c r="A338" s="307"/>
      <c r="B338" s="307"/>
      <c r="P338" s="260"/>
    </row>
    <row r="339">
      <c r="A339" s="307"/>
      <c r="B339" s="307"/>
      <c r="P339" s="260"/>
    </row>
    <row r="340">
      <c r="A340" s="307"/>
      <c r="B340" s="307"/>
      <c r="P340" s="260"/>
    </row>
    <row r="341">
      <c r="A341" s="307"/>
      <c r="B341" s="307"/>
      <c r="P341" s="260"/>
    </row>
    <row r="342">
      <c r="A342" s="307"/>
      <c r="B342" s="307"/>
      <c r="P342" s="260"/>
    </row>
    <row r="343">
      <c r="A343" s="307"/>
      <c r="B343" s="307"/>
      <c r="P343" s="260"/>
    </row>
    <row r="344">
      <c r="A344" s="307"/>
      <c r="B344" s="307"/>
      <c r="P344" s="260"/>
    </row>
    <row r="345">
      <c r="A345" s="307"/>
      <c r="B345" s="307"/>
      <c r="P345" s="260"/>
    </row>
    <row r="346">
      <c r="A346" s="307"/>
      <c r="B346" s="307"/>
      <c r="P346" s="260"/>
    </row>
    <row r="347">
      <c r="A347" s="307"/>
      <c r="B347" s="307"/>
      <c r="P347" s="260"/>
    </row>
    <row r="348">
      <c r="A348" s="307"/>
      <c r="B348" s="307"/>
      <c r="P348" s="260"/>
    </row>
    <row r="349">
      <c r="A349" s="307"/>
      <c r="B349" s="307"/>
      <c r="P349" s="260"/>
    </row>
    <row r="350">
      <c r="A350" s="307"/>
      <c r="B350" s="307"/>
      <c r="P350" s="260"/>
    </row>
    <row r="351">
      <c r="A351" s="307"/>
      <c r="B351" s="307"/>
      <c r="P351" s="260"/>
    </row>
    <row r="352">
      <c r="A352" s="307"/>
      <c r="B352" s="307"/>
      <c r="P352" s="260"/>
    </row>
    <row r="353">
      <c r="A353" s="307"/>
      <c r="B353" s="307"/>
      <c r="P353" s="260"/>
    </row>
    <row r="354">
      <c r="A354" s="307"/>
      <c r="B354" s="307"/>
      <c r="P354" s="260"/>
    </row>
    <row r="355">
      <c r="A355" s="307"/>
      <c r="B355" s="307"/>
      <c r="P355" s="260"/>
    </row>
    <row r="356">
      <c r="A356" s="307"/>
      <c r="B356" s="307"/>
      <c r="P356" s="260"/>
    </row>
    <row r="357">
      <c r="A357" s="307"/>
      <c r="B357" s="307"/>
      <c r="P357" s="260"/>
    </row>
    <row r="358">
      <c r="A358" s="307"/>
      <c r="B358" s="307"/>
      <c r="P358" s="260"/>
    </row>
    <row r="359">
      <c r="A359" s="307"/>
      <c r="B359" s="307"/>
      <c r="P359" s="260"/>
    </row>
    <row r="360">
      <c r="A360" s="307"/>
      <c r="B360" s="307"/>
      <c r="P360" s="260"/>
    </row>
    <row r="361">
      <c r="A361" s="307"/>
      <c r="B361" s="307"/>
      <c r="P361" s="260"/>
    </row>
    <row r="362">
      <c r="A362" s="307"/>
      <c r="B362" s="307"/>
      <c r="P362" s="260"/>
    </row>
    <row r="363">
      <c r="A363" s="307"/>
      <c r="B363" s="307"/>
      <c r="P363" s="260"/>
    </row>
    <row r="364">
      <c r="A364" s="307"/>
      <c r="B364" s="307"/>
      <c r="P364" s="260"/>
    </row>
    <row r="365">
      <c r="A365" s="307"/>
      <c r="B365" s="307"/>
      <c r="P365" s="260"/>
    </row>
    <row r="366">
      <c r="A366" s="307"/>
      <c r="B366" s="307"/>
      <c r="P366" s="260"/>
    </row>
    <row r="367">
      <c r="A367" s="307"/>
      <c r="B367" s="307"/>
      <c r="P367" s="260"/>
    </row>
    <row r="368">
      <c r="A368" s="307"/>
      <c r="B368" s="307"/>
      <c r="P368" s="260"/>
    </row>
    <row r="369">
      <c r="A369" s="307"/>
      <c r="B369" s="307"/>
      <c r="P369" s="260"/>
    </row>
    <row r="370">
      <c r="A370" s="307"/>
      <c r="B370" s="307"/>
      <c r="P370" s="260"/>
    </row>
    <row r="371">
      <c r="A371" s="307"/>
      <c r="B371" s="307"/>
      <c r="P371" s="260"/>
    </row>
    <row r="372">
      <c r="A372" s="307"/>
      <c r="B372" s="307"/>
      <c r="P372" s="260"/>
    </row>
    <row r="373">
      <c r="A373" s="307"/>
      <c r="B373" s="307"/>
      <c r="P373" s="260"/>
    </row>
    <row r="374">
      <c r="A374" s="307"/>
      <c r="B374" s="307"/>
      <c r="P374" s="260"/>
    </row>
    <row r="375">
      <c r="A375" s="307"/>
      <c r="B375" s="307"/>
      <c r="P375" s="260"/>
    </row>
    <row r="376">
      <c r="A376" s="307"/>
      <c r="B376" s="307"/>
      <c r="P376" s="260"/>
    </row>
    <row r="377">
      <c r="A377" s="307"/>
      <c r="B377" s="307"/>
      <c r="P377" s="260"/>
    </row>
    <row r="378">
      <c r="A378" s="307"/>
      <c r="B378" s="307"/>
      <c r="P378" s="260"/>
    </row>
    <row r="379">
      <c r="A379" s="307"/>
      <c r="B379" s="307"/>
      <c r="P379" s="260"/>
    </row>
    <row r="380">
      <c r="A380" s="307"/>
      <c r="B380" s="307"/>
      <c r="P380" s="260"/>
    </row>
    <row r="381">
      <c r="A381" s="307"/>
      <c r="B381" s="307"/>
      <c r="P381" s="260"/>
    </row>
    <row r="382">
      <c r="A382" s="307"/>
      <c r="B382" s="307"/>
      <c r="P382" s="260"/>
    </row>
    <row r="383">
      <c r="A383" s="307"/>
      <c r="B383" s="307"/>
      <c r="P383" s="260"/>
    </row>
    <row r="384">
      <c r="A384" s="307"/>
      <c r="B384" s="307"/>
      <c r="P384" s="260"/>
    </row>
    <row r="385">
      <c r="A385" s="307"/>
      <c r="B385" s="307"/>
      <c r="P385" s="260"/>
    </row>
    <row r="386">
      <c r="A386" s="307"/>
      <c r="B386" s="307"/>
      <c r="P386" s="260"/>
    </row>
    <row r="387">
      <c r="A387" s="307"/>
      <c r="B387" s="307"/>
      <c r="P387" s="260"/>
    </row>
    <row r="388">
      <c r="A388" s="307"/>
      <c r="B388" s="307"/>
      <c r="P388" s="260"/>
    </row>
    <row r="389">
      <c r="A389" s="307"/>
      <c r="B389" s="307"/>
      <c r="P389" s="260"/>
    </row>
    <row r="390">
      <c r="A390" s="307"/>
      <c r="B390" s="307"/>
      <c r="P390" s="260"/>
    </row>
    <row r="391">
      <c r="A391" s="307"/>
      <c r="B391" s="307"/>
      <c r="P391" s="260"/>
    </row>
    <row r="392">
      <c r="A392" s="307"/>
      <c r="B392" s="307"/>
      <c r="P392" s="260"/>
    </row>
    <row r="393">
      <c r="A393" s="307"/>
      <c r="B393" s="307"/>
      <c r="P393" s="260"/>
    </row>
    <row r="394">
      <c r="A394" s="307"/>
      <c r="B394" s="307"/>
      <c r="P394" s="260"/>
    </row>
    <row r="395">
      <c r="A395" s="307"/>
      <c r="B395" s="307"/>
      <c r="P395" s="260"/>
    </row>
    <row r="396">
      <c r="A396" s="307"/>
      <c r="B396" s="307"/>
      <c r="P396" s="260"/>
    </row>
    <row r="397">
      <c r="A397" s="307"/>
      <c r="B397" s="307"/>
      <c r="P397" s="260"/>
    </row>
    <row r="398">
      <c r="A398" s="307"/>
      <c r="B398" s="307"/>
      <c r="P398" s="260"/>
    </row>
    <row r="399">
      <c r="A399" s="307"/>
      <c r="B399" s="307"/>
      <c r="P399" s="260"/>
    </row>
    <row r="400">
      <c r="A400" s="307"/>
      <c r="B400" s="307"/>
      <c r="P400" s="260"/>
    </row>
    <row r="401">
      <c r="A401" s="307"/>
      <c r="B401" s="307"/>
      <c r="P401" s="260"/>
    </row>
    <row r="402">
      <c r="A402" s="307"/>
      <c r="B402" s="307"/>
      <c r="P402" s="260"/>
    </row>
    <row r="403">
      <c r="A403" s="307"/>
      <c r="B403" s="307"/>
      <c r="P403" s="260"/>
    </row>
    <row r="404">
      <c r="A404" s="307"/>
      <c r="B404" s="307"/>
      <c r="P404" s="260"/>
    </row>
    <row r="405">
      <c r="A405" s="307"/>
      <c r="B405" s="307"/>
      <c r="P405" s="260"/>
    </row>
    <row r="406">
      <c r="A406" s="307"/>
      <c r="B406" s="307"/>
      <c r="P406" s="260"/>
    </row>
    <row r="407">
      <c r="A407" s="307"/>
      <c r="B407" s="307"/>
      <c r="P407" s="260"/>
    </row>
    <row r="408">
      <c r="A408" s="307"/>
      <c r="B408" s="307"/>
      <c r="P408" s="260"/>
    </row>
    <row r="409">
      <c r="A409" s="307"/>
      <c r="B409" s="307"/>
      <c r="P409" s="260"/>
    </row>
    <row r="410">
      <c r="A410" s="307"/>
      <c r="B410" s="307"/>
      <c r="P410" s="260"/>
    </row>
    <row r="411">
      <c r="A411" s="307"/>
      <c r="B411" s="307"/>
      <c r="P411" s="260"/>
    </row>
    <row r="412">
      <c r="A412" s="307"/>
      <c r="B412" s="307"/>
      <c r="P412" s="260"/>
    </row>
    <row r="413">
      <c r="A413" s="307"/>
      <c r="B413" s="307"/>
      <c r="P413" s="260"/>
    </row>
    <row r="414">
      <c r="A414" s="307"/>
      <c r="B414" s="307"/>
      <c r="P414" s="260"/>
    </row>
    <row r="415">
      <c r="A415" s="307"/>
      <c r="B415" s="307"/>
      <c r="P415" s="260"/>
    </row>
    <row r="416">
      <c r="A416" s="307"/>
      <c r="B416" s="307"/>
      <c r="P416" s="260"/>
    </row>
    <row r="417">
      <c r="A417" s="307"/>
      <c r="B417" s="307"/>
      <c r="P417" s="260"/>
    </row>
    <row r="418">
      <c r="A418" s="307"/>
      <c r="B418" s="307"/>
      <c r="P418" s="260"/>
    </row>
    <row r="419">
      <c r="A419" s="307"/>
      <c r="B419" s="307"/>
      <c r="P419" s="260"/>
    </row>
    <row r="420">
      <c r="A420" s="307"/>
      <c r="B420" s="307"/>
      <c r="P420" s="260"/>
    </row>
    <row r="421">
      <c r="A421" s="307"/>
      <c r="B421" s="307"/>
      <c r="P421" s="260"/>
    </row>
    <row r="422">
      <c r="A422" s="307"/>
      <c r="B422" s="307"/>
      <c r="P422" s="260"/>
    </row>
    <row r="423">
      <c r="A423" s="307"/>
      <c r="B423" s="307"/>
      <c r="P423" s="260"/>
    </row>
    <row r="424">
      <c r="A424" s="307"/>
      <c r="B424" s="307"/>
      <c r="P424" s="260"/>
    </row>
    <row r="425">
      <c r="A425" s="307"/>
      <c r="B425" s="307"/>
      <c r="P425" s="260"/>
    </row>
    <row r="426">
      <c r="A426" s="307"/>
      <c r="B426" s="307"/>
      <c r="P426" s="260"/>
    </row>
    <row r="427">
      <c r="A427" s="307"/>
      <c r="B427" s="307"/>
      <c r="P427" s="260"/>
    </row>
    <row r="428">
      <c r="A428" s="307"/>
      <c r="B428" s="307"/>
      <c r="P428" s="260"/>
    </row>
    <row r="429">
      <c r="A429" s="307"/>
      <c r="B429" s="307"/>
      <c r="P429" s="260"/>
    </row>
    <row r="430">
      <c r="A430" s="307"/>
      <c r="B430" s="307"/>
      <c r="P430" s="260"/>
    </row>
    <row r="431">
      <c r="A431" s="307"/>
      <c r="B431" s="307"/>
      <c r="P431" s="260"/>
    </row>
    <row r="432">
      <c r="A432" s="307"/>
      <c r="B432" s="307"/>
      <c r="P432" s="260"/>
    </row>
    <row r="433">
      <c r="A433" s="307"/>
      <c r="B433" s="307"/>
      <c r="P433" s="260"/>
    </row>
    <row r="434">
      <c r="A434" s="307"/>
      <c r="B434" s="307"/>
      <c r="P434" s="260"/>
    </row>
    <row r="435">
      <c r="A435" s="307"/>
      <c r="B435" s="307"/>
      <c r="P435" s="260"/>
    </row>
    <row r="436">
      <c r="A436" s="307"/>
      <c r="B436" s="307"/>
      <c r="P436" s="260"/>
    </row>
    <row r="437">
      <c r="A437" s="307"/>
      <c r="B437" s="307"/>
      <c r="P437" s="260"/>
    </row>
    <row r="438">
      <c r="A438" s="307"/>
      <c r="B438" s="307"/>
      <c r="P438" s="260"/>
    </row>
    <row r="439">
      <c r="A439" s="307"/>
      <c r="B439" s="307"/>
      <c r="P439" s="260"/>
    </row>
    <row r="440">
      <c r="A440" s="307"/>
      <c r="B440" s="307"/>
      <c r="P440" s="260"/>
    </row>
    <row r="441">
      <c r="A441" s="307"/>
      <c r="B441" s="307"/>
      <c r="P441" s="260"/>
    </row>
    <row r="442">
      <c r="A442" s="307"/>
      <c r="B442" s="307"/>
      <c r="P442" s="260"/>
    </row>
    <row r="443">
      <c r="A443" s="307"/>
      <c r="B443" s="307"/>
      <c r="P443" s="260"/>
    </row>
    <row r="444">
      <c r="A444" s="307"/>
      <c r="B444" s="307"/>
      <c r="P444" s="260"/>
    </row>
    <row r="445">
      <c r="A445" s="307"/>
      <c r="B445" s="307"/>
      <c r="P445" s="260"/>
    </row>
    <row r="446">
      <c r="A446" s="307"/>
      <c r="B446" s="307"/>
      <c r="P446" s="260"/>
    </row>
    <row r="447">
      <c r="A447" s="307"/>
      <c r="B447" s="307"/>
      <c r="P447" s="260"/>
    </row>
    <row r="448">
      <c r="A448" s="307"/>
      <c r="B448" s="307"/>
      <c r="P448" s="260"/>
    </row>
    <row r="449">
      <c r="A449" s="307"/>
      <c r="B449" s="307"/>
      <c r="P449" s="260"/>
    </row>
    <row r="450">
      <c r="A450" s="307"/>
      <c r="B450" s="307"/>
      <c r="P450" s="260"/>
    </row>
    <row r="451">
      <c r="A451" s="307"/>
      <c r="B451" s="307"/>
      <c r="P451" s="260"/>
    </row>
    <row r="452">
      <c r="A452" s="307"/>
      <c r="B452" s="307"/>
      <c r="P452" s="260"/>
    </row>
    <row r="453">
      <c r="A453" s="307"/>
      <c r="B453" s="307"/>
      <c r="P453" s="260"/>
    </row>
    <row r="454">
      <c r="A454" s="307"/>
      <c r="B454" s="307"/>
      <c r="P454" s="260"/>
    </row>
    <row r="455">
      <c r="A455" s="307"/>
      <c r="B455" s="307"/>
      <c r="P455" s="260"/>
    </row>
    <row r="456">
      <c r="A456" s="307"/>
      <c r="B456" s="307"/>
      <c r="P456" s="260"/>
    </row>
    <row r="457">
      <c r="A457" s="307"/>
      <c r="B457" s="307"/>
      <c r="P457" s="260"/>
    </row>
    <row r="458">
      <c r="A458" s="307"/>
      <c r="B458" s="307"/>
      <c r="P458" s="260"/>
    </row>
    <row r="459">
      <c r="A459" s="307"/>
      <c r="B459" s="307"/>
      <c r="P459" s="260"/>
    </row>
    <row r="460">
      <c r="A460" s="307"/>
      <c r="B460" s="307"/>
      <c r="P460" s="260"/>
    </row>
    <row r="461">
      <c r="A461" s="307"/>
      <c r="B461" s="307"/>
      <c r="P461" s="260"/>
    </row>
    <row r="462">
      <c r="A462" s="307"/>
      <c r="B462" s="307"/>
      <c r="P462" s="260"/>
    </row>
    <row r="463">
      <c r="A463" s="307"/>
      <c r="B463" s="307"/>
      <c r="P463" s="260"/>
    </row>
    <row r="464">
      <c r="A464" s="307"/>
      <c r="B464" s="307"/>
      <c r="P464" s="260"/>
    </row>
    <row r="465">
      <c r="A465" s="307"/>
      <c r="B465" s="307"/>
      <c r="P465" s="260"/>
    </row>
    <row r="466">
      <c r="A466" s="307"/>
      <c r="B466" s="307"/>
      <c r="P466" s="260"/>
    </row>
    <row r="467">
      <c r="A467" s="307"/>
      <c r="B467" s="307"/>
      <c r="P467" s="260"/>
    </row>
    <row r="468">
      <c r="A468" s="307"/>
      <c r="B468" s="307"/>
      <c r="P468" s="260"/>
    </row>
    <row r="469">
      <c r="A469" s="307"/>
      <c r="B469" s="307"/>
      <c r="P469" s="260"/>
    </row>
    <row r="470">
      <c r="A470" s="307"/>
      <c r="B470" s="307"/>
      <c r="P470" s="260"/>
    </row>
    <row r="471">
      <c r="A471" s="307"/>
      <c r="B471" s="307"/>
      <c r="P471" s="260"/>
    </row>
    <row r="472">
      <c r="A472" s="307"/>
      <c r="B472" s="307"/>
      <c r="P472" s="260"/>
    </row>
    <row r="473">
      <c r="A473" s="307"/>
      <c r="B473" s="307"/>
      <c r="P473" s="260"/>
    </row>
    <row r="474">
      <c r="A474" s="307"/>
      <c r="B474" s="307"/>
      <c r="P474" s="260"/>
    </row>
    <row r="475">
      <c r="A475" s="307"/>
      <c r="B475" s="307"/>
      <c r="P475" s="260"/>
    </row>
    <row r="476">
      <c r="A476" s="307"/>
      <c r="B476" s="307"/>
      <c r="P476" s="260"/>
    </row>
    <row r="477">
      <c r="A477" s="307"/>
      <c r="B477" s="307"/>
      <c r="P477" s="260"/>
    </row>
    <row r="478">
      <c r="A478" s="307"/>
      <c r="B478" s="307"/>
      <c r="P478" s="260"/>
    </row>
    <row r="479">
      <c r="A479" s="307"/>
      <c r="B479" s="307"/>
      <c r="P479" s="260"/>
    </row>
    <row r="480">
      <c r="A480" s="307"/>
      <c r="B480" s="307"/>
      <c r="P480" s="260"/>
    </row>
    <row r="481">
      <c r="A481" s="307"/>
      <c r="B481" s="307"/>
      <c r="P481" s="260"/>
    </row>
    <row r="482">
      <c r="A482" s="307"/>
      <c r="B482" s="307"/>
      <c r="P482" s="260"/>
    </row>
    <row r="483">
      <c r="A483" s="307"/>
      <c r="B483" s="307"/>
      <c r="P483" s="260"/>
    </row>
    <row r="484">
      <c r="A484" s="307"/>
      <c r="B484" s="307"/>
      <c r="P484" s="260"/>
    </row>
    <row r="485">
      <c r="A485" s="307"/>
      <c r="B485" s="307"/>
      <c r="P485" s="260"/>
    </row>
    <row r="486">
      <c r="A486" s="307"/>
      <c r="B486" s="307"/>
      <c r="P486" s="260"/>
    </row>
    <row r="487">
      <c r="A487" s="307"/>
      <c r="B487" s="307"/>
      <c r="P487" s="260"/>
    </row>
    <row r="488">
      <c r="A488" s="307"/>
      <c r="B488" s="307"/>
      <c r="P488" s="260"/>
    </row>
    <row r="489">
      <c r="A489" s="307"/>
      <c r="B489" s="307"/>
      <c r="P489" s="260"/>
    </row>
    <row r="490">
      <c r="A490" s="307"/>
      <c r="B490" s="307"/>
      <c r="P490" s="260"/>
    </row>
    <row r="491">
      <c r="A491" s="307"/>
      <c r="B491" s="307"/>
      <c r="P491" s="260"/>
    </row>
    <row r="492">
      <c r="A492" s="307"/>
      <c r="B492" s="307"/>
      <c r="P492" s="260"/>
    </row>
    <row r="493">
      <c r="A493" s="307"/>
      <c r="B493" s="307"/>
      <c r="P493" s="260"/>
    </row>
    <row r="494">
      <c r="A494" s="307"/>
      <c r="B494" s="307"/>
      <c r="P494" s="260"/>
    </row>
    <row r="495">
      <c r="A495" s="307"/>
      <c r="B495" s="307"/>
      <c r="P495" s="260"/>
    </row>
    <row r="496">
      <c r="A496" s="307"/>
      <c r="B496" s="307"/>
      <c r="P496" s="260"/>
    </row>
    <row r="497">
      <c r="A497" s="307"/>
      <c r="B497" s="307"/>
      <c r="P497" s="260"/>
    </row>
    <row r="498">
      <c r="A498" s="307"/>
      <c r="B498" s="307"/>
      <c r="P498" s="260"/>
    </row>
    <row r="499">
      <c r="A499" s="307"/>
      <c r="B499" s="307"/>
      <c r="P499" s="260"/>
    </row>
    <row r="500">
      <c r="A500" s="307"/>
      <c r="B500" s="307"/>
      <c r="P500" s="260"/>
    </row>
    <row r="501">
      <c r="A501" s="307"/>
      <c r="B501" s="307"/>
      <c r="P501" s="260"/>
    </row>
    <row r="502">
      <c r="A502" s="307"/>
      <c r="B502" s="307"/>
      <c r="P502" s="260"/>
    </row>
    <row r="503">
      <c r="A503" s="307"/>
      <c r="B503" s="307"/>
      <c r="P503" s="260"/>
    </row>
    <row r="504">
      <c r="A504" s="307"/>
      <c r="B504" s="307"/>
      <c r="P504" s="260"/>
    </row>
    <row r="505">
      <c r="A505" s="307"/>
      <c r="B505" s="307"/>
      <c r="P505" s="260"/>
    </row>
    <row r="506">
      <c r="A506" s="307"/>
      <c r="B506" s="307"/>
      <c r="P506" s="260"/>
    </row>
    <row r="507">
      <c r="A507" s="307"/>
      <c r="B507" s="307"/>
      <c r="P507" s="260"/>
    </row>
    <row r="508">
      <c r="A508" s="307"/>
      <c r="B508" s="307"/>
      <c r="P508" s="260"/>
    </row>
    <row r="509">
      <c r="A509" s="307"/>
      <c r="B509" s="307"/>
      <c r="P509" s="260"/>
    </row>
    <row r="510">
      <c r="A510" s="307"/>
      <c r="B510" s="307"/>
      <c r="P510" s="260"/>
    </row>
    <row r="511">
      <c r="A511" s="307"/>
      <c r="B511" s="307"/>
      <c r="P511" s="260"/>
    </row>
    <row r="512">
      <c r="A512" s="307"/>
      <c r="B512" s="307"/>
      <c r="P512" s="260"/>
    </row>
    <row r="513">
      <c r="A513" s="307"/>
      <c r="B513" s="307"/>
      <c r="P513" s="260"/>
    </row>
    <row r="514">
      <c r="A514" s="307"/>
      <c r="B514" s="307"/>
      <c r="P514" s="260"/>
    </row>
    <row r="515">
      <c r="A515" s="307"/>
      <c r="B515" s="307"/>
      <c r="P515" s="260"/>
    </row>
    <row r="516">
      <c r="A516" s="307"/>
      <c r="B516" s="307"/>
      <c r="P516" s="260"/>
    </row>
    <row r="517">
      <c r="A517" s="307"/>
      <c r="B517" s="307"/>
      <c r="P517" s="260"/>
    </row>
    <row r="518">
      <c r="A518" s="307"/>
      <c r="B518" s="307"/>
      <c r="P518" s="260"/>
    </row>
    <row r="519">
      <c r="A519" s="307"/>
      <c r="B519" s="307"/>
      <c r="P519" s="260"/>
    </row>
    <row r="520">
      <c r="A520" s="307"/>
      <c r="B520" s="307"/>
      <c r="P520" s="260"/>
    </row>
    <row r="521">
      <c r="A521" s="307"/>
      <c r="B521" s="307"/>
      <c r="P521" s="260"/>
    </row>
    <row r="522">
      <c r="A522" s="307"/>
      <c r="B522" s="307"/>
      <c r="P522" s="260"/>
    </row>
    <row r="523">
      <c r="A523" s="307"/>
      <c r="B523" s="307"/>
      <c r="P523" s="260"/>
    </row>
    <row r="524">
      <c r="A524" s="307"/>
      <c r="B524" s="307"/>
      <c r="P524" s="260"/>
    </row>
    <row r="525">
      <c r="A525" s="307"/>
      <c r="B525" s="307"/>
      <c r="P525" s="260"/>
    </row>
    <row r="526">
      <c r="A526" s="307"/>
      <c r="B526" s="307"/>
      <c r="P526" s="260"/>
    </row>
    <row r="527">
      <c r="A527" s="307"/>
      <c r="B527" s="307"/>
      <c r="P527" s="260"/>
    </row>
    <row r="528">
      <c r="A528" s="307"/>
      <c r="B528" s="307"/>
      <c r="P528" s="260"/>
    </row>
    <row r="529">
      <c r="A529" s="307"/>
      <c r="B529" s="307"/>
      <c r="P529" s="260"/>
    </row>
    <row r="530">
      <c r="A530" s="307"/>
      <c r="B530" s="307"/>
      <c r="P530" s="260"/>
    </row>
    <row r="531">
      <c r="A531" s="307"/>
      <c r="B531" s="307"/>
      <c r="P531" s="260"/>
    </row>
    <row r="532">
      <c r="A532" s="307"/>
      <c r="B532" s="307"/>
      <c r="P532" s="260"/>
    </row>
    <row r="533">
      <c r="A533" s="307"/>
      <c r="B533" s="307"/>
      <c r="P533" s="260"/>
    </row>
    <row r="534">
      <c r="A534" s="307"/>
      <c r="B534" s="307"/>
      <c r="P534" s="260"/>
    </row>
    <row r="535">
      <c r="A535" s="307"/>
      <c r="B535" s="307"/>
      <c r="P535" s="260"/>
    </row>
    <row r="536">
      <c r="A536" s="307"/>
      <c r="B536" s="307"/>
      <c r="P536" s="260"/>
    </row>
    <row r="537">
      <c r="A537" s="307"/>
      <c r="B537" s="307"/>
      <c r="P537" s="260"/>
    </row>
    <row r="538">
      <c r="A538" s="307"/>
      <c r="B538" s="307"/>
      <c r="P538" s="260"/>
    </row>
    <row r="539">
      <c r="A539" s="307"/>
      <c r="B539" s="307"/>
      <c r="P539" s="260"/>
    </row>
    <row r="540">
      <c r="A540" s="307"/>
      <c r="B540" s="307"/>
      <c r="P540" s="260"/>
    </row>
    <row r="541">
      <c r="A541" s="307"/>
      <c r="B541" s="307"/>
      <c r="P541" s="260"/>
    </row>
    <row r="542">
      <c r="A542" s="307"/>
      <c r="B542" s="307"/>
      <c r="P542" s="260"/>
    </row>
    <row r="543">
      <c r="A543" s="307"/>
      <c r="B543" s="307"/>
      <c r="P543" s="260"/>
    </row>
    <row r="544">
      <c r="A544" s="307"/>
      <c r="B544" s="307"/>
      <c r="P544" s="260"/>
    </row>
    <row r="545">
      <c r="A545" s="307"/>
      <c r="B545" s="307"/>
      <c r="P545" s="260"/>
    </row>
    <row r="546">
      <c r="A546" s="307"/>
      <c r="B546" s="307"/>
      <c r="P546" s="260"/>
    </row>
    <row r="547">
      <c r="A547" s="307"/>
      <c r="B547" s="307"/>
      <c r="P547" s="260"/>
    </row>
    <row r="548">
      <c r="A548" s="307"/>
      <c r="B548" s="307"/>
      <c r="P548" s="260"/>
    </row>
    <row r="549">
      <c r="A549" s="307"/>
      <c r="B549" s="307"/>
      <c r="P549" s="260"/>
    </row>
    <row r="550">
      <c r="A550" s="307"/>
      <c r="B550" s="307"/>
      <c r="P550" s="260"/>
    </row>
    <row r="551">
      <c r="A551" s="307"/>
      <c r="B551" s="307"/>
      <c r="P551" s="260"/>
    </row>
    <row r="552">
      <c r="A552" s="307"/>
      <c r="B552" s="307"/>
      <c r="P552" s="260"/>
    </row>
    <row r="553">
      <c r="A553" s="307"/>
      <c r="B553" s="307"/>
      <c r="P553" s="260"/>
    </row>
    <row r="554">
      <c r="A554" s="307"/>
      <c r="B554" s="307"/>
      <c r="P554" s="260"/>
    </row>
    <row r="555">
      <c r="A555" s="307"/>
      <c r="B555" s="307"/>
      <c r="P555" s="260"/>
    </row>
    <row r="556">
      <c r="A556" s="307"/>
      <c r="B556" s="307"/>
      <c r="P556" s="260"/>
    </row>
    <row r="557">
      <c r="A557" s="307"/>
      <c r="B557" s="307"/>
      <c r="P557" s="260"/>
    </row>
    <row r="558">
      <c r="A558" s="307"/>
      <c r="B558" s="307"/>
      <c r="P558" s="260"/>
    </row>
    <row r="559">
      <c r="A559" s="307"/>
      <c r="B559" s="307"/>
      <c r="P559" s="260"/>
    </row>
    <row r="560">
      <c r="A560" s="307"/>
      <c r="B560" s="307"/>
      <c r="P560" s="260"/>
    </row>
    <row r="561">
      <c r="A561" s="307"/>
      <c r="B561" s="307"/>
      <c r="P561" s="260"/>
    </row>
    <row r="562">
      <c r="A562" s="307"/>
      <c r="B562" s="307"/>
      <c r="P562" s="260"/>
    </row>
    <row r="563">
      <c r="A563" s="307"/>
      <c r="B563" s="307"/>
      <c r="P563" s="260"/>
    </row>
    <row r="564">
      <c r="A564" s="307"/>
      <c r="B564" s="307"/>
      <c r="P564" s="260"/>
    </row>
    <row r="565">
      <c r="A565" s="307"/>
      <c r="B565" s="307"/>
      <c r="P565" s="260"/>
    </row>
    <row r="566">
      <c r="A566" s="307"/>
      <c r="B566" s="307"/>
      <c r="P566" s="260"/>
    </row>
    <row r="567">
      <c r="A567" s="307"/>
      <c r="B567" s="307"/>
      <c r="P567" s="260"/>
    </row>
    <row r="568">
      <c r="A568" s="307"/>
      <c r="B568" s="307"/>
      <c r="P568" s="260"/>
    </row>
    <row r="569">
      <c r="A569" s="307"/>
      <c r="B569" s="307"/>
      <c r="P569" s="260"/>
    </row>
    <row r="570">
      <c r="A570" s="307"/>
      <c r="B570" s="307"/>
      <c r="P570" s="260"/>
    </row>
    <row r="571">
      <c r="A571" s="307"/>
      <c r="B571" s="307"/>
      <c r="P571" s="260"/>
    </row>
    <row r="572">
      <c r="A572" s="307"/>
      <c r="B572" s="307"/>
      <c r="P572" s="260"/>
    </row>
    <row r="573">
      <c r="A573" s="307"/>
      <c r="B573" s="307"/>
      <c r="P573" s="260"/>
    </row>
    <row r="574">
      <c r="A574" s="307"/>
      <c r="B574" s="307"/>
      <c r="P574" s="260"/>
    </row>
    <row r="575">
      <c r="A575" s="307"/>
      <c r="B575" s="307"/>
      <c r="P575" s="260"/>
    </row>
    <row r="576">
      <c r="A576" s="307"/>
      <c r="B576" s="307"/>
      <c r="P576" s="260"/>
    </row>
    <row r="577">
      <c r="A577" s="307"/>
      <c r="B577" s="307"/>
      <c r="P577" s="260"/>
    </row>
    <row r="578">
      <c r="A578" s="307"/>
      <c r="B578" s="307"/>
      <c r="P578" s="260"/>
    </row>
    <row r="579">
      <c r="A579" s="307"/>
      <c r="B579" s="307"/>
      <c r="P579" s="260"/>
    </row>
    <row r="580">
      <c r="A580" s="307"/>
      <c r="B580" s="307"/>
      <c r="P580" s="260"/>
    </row>
    <row r="581">
      <c r="A581" s="307"/>
      <c r="B581" s="307"/>
      <c r="P581" s="260"/>
    </row>
    <row r="582">
      <c r="A582" s="307"/>
      <c r="B582" s="307"/>
      <c r="P582" s="260"/>
    </row>
    <row r="583">
      <c r="A583" s="307"/>
      <c r="B583" s="307"/>
      <c r="P583" s="260"/>
    </row>
    <row r="584">
      <c r="A584" s="307"/>
      <c r="B584" s="307"/>
      <c r="P584" s="260"/>
    </row>
    <row r="585">
      <c r="A585" s="307"/>
      <c r="B585" s="307"/>
      <c r="P585" s="260"/>
    </row>
    <row r="586">
      <c r="A586" s="307"/>
      <c r="B586" s="307"/>
      <c r="P586" s="260"/>
    </row>
    <row r="587">
      <c r="A587" s="307"/>
      <c r="B587" s="307"/>
      <c r="P587" s="260"/>
    </row>
    <row r="588">
      <c r="A588" s="307"/>
      <c r="B588" s="307"/>
      <c r="P588" s="260"/>
    </row>
    <row r="589">
      <c r="A589" s="307"/>
      <c r="B589" s="307"/>
      <c r="P589" s="260"/>
    </row>
    <row r="590">
      <c r="A590" s="307"/>
      <c r="B590" s="307"/>
      <c r="P590" s="260"/>
    </row>
    <row r="591">
      <c r="A591" s="307"/>
      <c r="B591" s="307"/>
      <c r="P591" s="260"/>
    </row>
    <row r="592">
      <c r="A592" s="307"/>
      <c r="B592" s="307"/>
      <c r="P592" s="260"/>
    </row>
    <row r="593">
      <c r="A593" s="307"/>
      <c r="B593" s="307"/>
      <c r="P593" s="260"/>
    </row>
    <row r="594">
      <c r="A594" s="307"/>
      <c r="B594" s="307"/>
      <c r="P594" s="260"/>
    </row>
    <row r="595">
      <c r="A595" s="307"/>
      <c r="B595" s="307"/>
      <c r="P595" s="260"/>
    </row>
    <row r="596">
      <c r="A596" s="307"/>
      <c r="B596" s="307"/>
      <c r="P596" s="260"/>
    </row>
    <row r="597">
      <c r="A597" s="307"/>
      <c r="B597" s="307"/>
      <c r="P597" s="260"/>
    </row>
    <row r="598">
      <c r="A598" s="307"/>
      <c r="B598" s="307"/>
      <c r="P598" s="260"/>
    </row>
    <row r="599">
      <c r="A599" s="307"/>
      <c r="B599" s="307"/>
      <c r="P599" s="260"/>
    </row>
    <row r="600">
      <c r="A600" s="307"/>
      <c r="B600" s="307"/>
      <c r="P600" s="260"/>
    </row>
    <row r="601">
      <c r="A601" s="307"/>
      <c r="B601" s="307"/>
      <c r="P601" s="260"/>
    </row>
    <row r="602">
      <c r="A602" s="307"/>
      <c r="B602" s="307"/>
      <c r="P602" s="260"/>
    </row>
    <row r="603">
      <c r="A603" s="307"/>
      <c r="B603" s="307"/>
      <c r="P603" s="260"/>
    </row>
    <row r="604">
      <c r="A604" s="307"/>
      <c r="B604" s="307"/>
      <c r="P604" s="260"/>
    </row>
    <row r="605">
      <c r="A605" s="307"/>
      <c r="B605" s="307"/>
      <c r="P605" s="260"/>
    </row>
    <row r="606">
      <c r="A606" s="307"/>
      <c r="B606" s="307"/>
      <c r="P606" s="260"/>
    </row>
    <row r="607">
      <c r="A607" s="307"/>
      <c r="B607" s="307"/>
      <c r="P607" s="260"/>
    </row>
    <row r="608">
      <c r="A608" s="307"/>
      <c r="B608" s="307"/>
      <c r="P608" s="260"/>
    </row>
    <row r="609">
      <c r="A609" s="307"/>
      <c r="B609" s="307"/>
      <c r="P609" s="260"/>
    </row>
    <row r="610">
      <c r="A610" s="307"/>
      <c r="B610" s="307"/>
      <c r="P610" s="260"/>
    </row>
    <row r="611">
      <c r="A611" s="307"/>
      <c r="B611" s="307"/>
      <c r="P611" s="260"/>
    </row>
    <row r="612">
      <c r="A612" s="307"/>
      <c r="B612" s="307"/>
      <c r="P612" s="260"/>
    </row>
    <row r="613">
      <c r="A613" s="307"/>
      <c r="B613" s="307"/>
      <c r="P613" s="260"/>
    </row>
    <row r="614">
      <c r="A614" s="307"/>
      <c r="B614" s="307"/>
      <c r="P614" s="260"/>
    </row>
    <row r="615">
      <c r="A615" s="307"/>
      <c r="B615" s="307"/>
      <c r="P615" s="260"/>
    </row>
    <row r="616">
      <c r="A616" s="307"/>
      <c r="B616" s="307"/>
      <c r="P616" s="260"/>
    </row>
    <row r="617">
      <c r="A617" s="307"/>
      <c r="B617" s="307"/>
      <c r="P617" s="260"/>
    </row>
    <row r="618">
      <c r="A618" s="307"/>
      <c r="B618" s="307"/>
      <c r="P618" s="260"/>
    </row>
    <row r="619">
      <c r="A619" s="307"/>
      <c r="B619" s="307"/>
      <c r="P619" s="260"/>
    </row>
    <row r="620">
      <c r="A620" s="307"/>
      <c r="B620" s="307"/>
      <c r="P620" s="260"/>
    </row>
    <row r="621">
      <c r="A621" s="307"/>
      <c r="B621" s="307"/>
      <c r="P621" s="260"/>
    </row>
    <row r="622">
      <c r="A622" s="307"/>
      <c r="B622" s="307"/>
      <c r="P622" s="260"/>
    </row>
    <row r="623">
      <c r="A623" s="307"/>
      <c r="B623" s="307"/>
      <c r="P623" s="260"/>
    </row>
    <row r="624">
      <c r="A624" s="307"/>
      <c r="B624" s="307"/>
      <c r="P624" s="260"/>
    </row>
    <row r="625">
      <c r="A625" s="307"/>
      <c r="B625" s="307"/>
      <c r="P625" s="260"/>
    </row>
    <row r="626">
      <c r="A626" s="307"/>
      <c r="B626" s="307"/>
      <c r="P626" s="260"/>
    </row>
    <row r="627">
      <c r="A627" s="307"/>
      <c r="B627" s="307"/>
      <c r="P627" s="260"/>
    </row>
    <row r="628">
      <c r="A628" s="307"/>
      <c r="B628" s="307"/>
      <c r="P628" s="260"/>
    </row>
    <row r="629">
      <c r="A629" s="307"/>
      <c r="B629" s="307"/>
      <c r="P629" s="260"/>
    </row>
    <row r="630">
      <c r="A630" s="307"/>
      <c r="B630" s="307"/>
      <c r="P630" s="260"/>
    </row>
    <row r="631">
      <c r="A631" s="307"/>
      <c r="B631" s="307"/>
      <c r="P631" s="260"/>
    </row>
    <row r="632">
      <c r="A632" s="307"/>
      <c r="B632" s="307"/>
      <c r="P632" s="260"/>
    </row>
    <row r="633">
      <c r="A633" s="307"/>
      <c r="B633" s="307"/>
      <c r="P633" s="260"/>
    </row>
    <row r="634">
      <c r="A634" s="307"/>
      <c r="B634" s="307"/>
      <c r="P634" s="260"/>
    </row>
    <row r="635">
      <c r="A635" s="307"/>
      <c r="B635" s="307"/>
      <c r="P635" s="260"/>
    </row>
    <row r="636">
      <c r="A636" s="307"/>
      <c r="B636" s="307"/>
      <c r="P636" s="260"/>
    </row>
    <row r="637">
      <c r="A637" s="307"/>
      <c r="B637" s="307"/>
      <c r="P637" s="260"/>
    </row>
    <row r="638">
      <c r="A638" s="307"/>
      <c r="B638" s="307"/>
      <c r="P638" s="260"/>
    </row>
    <row r="639">
      <c r="A639" s="307"/>
      <c r="B639" s="307"/>
      <c r="P639" s="260"/>
    </row>
    <row r="640">
      <c r="A640" s="307"/>
      <c r="B640" s="307"/>
      <c r="P640" s="260"/>
    </row>
    <row r="641">
      <c r="A641" s="307"/>
      <c r="B641" s="307"/>
      <c r="P641" s="260"/>
    </row>
    <row r="642">
      <c r="A642" s="307"/>
      <c r="B642" s="307"/>
      <c r="P642" s="260"/>
    </row>
    <row r="643">
      <c r="A643" s="307"/>
      <c r="B643" s="307"/>
      <c r="P643" s="260"/>
    </row>
    <row r="644">
      <c r="A644" s="307"/>
      <c r="B644" s="307"/>
      <c r="P644" s="260"/>
    </row>
    <row r="645">
      <c r="A645" s="307"/>
      <c r="B645" s="307"/>
      <c r="P645" s="260"/>
    </row>
    <row r="646">
      <c r="A646" s="307"/>
      <c r="B646" s="307"/>
      <c r="P646" s="260"/>
    </row>
    <row r="647">
      <c r="A647" s="307"/>
      <c r="B647" s="307"/>
      <c r="P647" s="260"/>
    </row>
    <row r="648">
      <c r="A648" s="307"/>
      <c r="B648" s="307"/>
      <c r="P648" s="260"/>
    </row>
    <row r="649">
      <c r="A649" s="307"/>
      <c r="B649" s="307"/>
      <c r="P649" s="260"/>
    </row>
    <row r="650">
      <c r="A650" s="307"/>
      <c r="B650" s="307"/>
      <c r="P650" s="260"/>
    </row>
    <row r="651">
      <c r="A651" s="307"/>
      <c r="B651" s="307"/>
      <c r="P651" s="260"/>
    </row>
    <row r="652">
      <c r="A652" s="307"/>
      <c r="B652" s="307"/>
      <c r="P652" s="260"/>
    </row>
    <row r="653">
      <c r="A653" s="307"/>
      <c r="B653" s="307"/>
      <c r="P653" s="260"/>
    </row>
    <row r="654">
      <c r="A654" s="307"/>
      <c r="B654" s="307"/>
      <c r="P654" s="260"/>
    </row>
    <row r="655">
      <c r="A655" s="307"/>
      <c r="B655" s="307"/>
      <c r="P655" s="260"/>
    </row>
    <row r="656">
      <c r="A656" s="307"/>
      <c r="B656" s="307"/>
      <c r="P656" s="260"/>
    </row>
    <row r="657">
      <c r="A657" s="307"/>
      <c r="B657" s="307"/>
      <c r="P657" s="260"/>
    </row>
    <row r="658">
      <c r="A658" s="307"/>
      <c r="B658" s="307"/>
      <c r="P658" s="260"/>
    </row>
    <row r="659">
      <c r="A659" s="307"/>
      <c r="B659" s="307"/>
      <c r="P659" s="260"/>
    </row>
    <row r="660">
      <c r="A660" s="307"/>
      <c r="B660" s="307"/>
      <c r="P660" s="260"/>
    </row>
    <row r="661">
      <c r="A661" s="307"/>
      <c r="B661" s="307"/>
      <c r="P661" s="260"/>
    </row>
    <row r="662">
      <c r="A662" s="307"/>
      <c r="B662" s="307"/>
      <c r="P662" s="260"/>
    </row>
    <row r="663">
      <c r="A663" s="307"/>
      <c r="B663" s="307"/>
      <c r="P663" s="260"/>
    </row>
    <row r="664">
      <c r="A664" s="307"/>
      <c r="B664" s="307"/>
      <c r="P664" s="260"/>
    </row>
    <row r="665">
      <c r="A665" s="307"/>
      <c r="B665" s="307"/>
      <c r="P665" s="260"/>
    </row>
    <row r="666">
      <c r="A666" s="307"/>
      <c r="B666" s="307"/>
      <c r="P666" s="260"/>
    </row>
    <row r="667">
      <c r="A667" s="307"/>
      <c r="B667" s="307"/>
      <c r="P667" s="260"/>
    </row>
    <row r="668">
      <c r="A668" s="307"/>
      <c r="B668" s="307"/>
      <c r="P668" s="260"/>
    </row>
    <row r="669">
      <c r="A669" s="307"/>
      <c r="B669" s="307"/>
      <c r="P669" s="260"/>
    </row>
    <row r="670">
      <c r="A670" s="307"/>
      <c r="B670" s="307"/>
      <c r="P670" s="260"/>
    </row>
    <row r="671">
      <c r="A671" s="307"/>
      <c r="B671" s="307"/>
      <c r="P671" s="260"/>
    </row>
    <row r="672">
      <c r="A672" s="307"/>
      <c r="B672" s="307"/>
      <c r="P672" s="260"/>
    </row>
    <row r="673">
      <c r="A673" s="307"/>
      <c r="B673" s="307"/>
      <c r="P673" s="260"/>
    </row>
    <row r="674">
      <c r="A674" s="307"/>
      <c r="B674" s="307"/>
      <c r="P674" s="260"/>
    </row>
    <row r="675">
      <c r="A675" s="307"/>
      <c r="B675" s="307"/>
      <c r="P675" s="260"/>
    </row>
    <row r="676">
      <c r="A676" s="307"/>
      <c r="B676" s="307"/>
      <c r="P676" s="260"/>
    </row>
    <row r="677">
      <c r="A677" s="307"/>
      <c r="B677" s="307"/>
      <c r="P677" s="260"/>
    </row>
    <row r="678">
      <c r="A678" s="307"/>
      <c r="B678" s="307"/>
      <c r="P678" s="260"/>
    </row>
    <row r="679">
      <c r="A679" s="307"/>
      <c r="B679" s="307"/>
      <c r="P679" s="260"/>
    </row>
    <row r="680">
      <c r="A680" s="307"/>
      <c r="B680" s="307"/>
      <c r="P680" s="260"/>
    </row>
    <row r="681">
      <c r="A681" s="307"/>
      <c r="B681" s="307"/>
      <c r="P681" s="260"/>
    </row>
    <row r="682">
      <c r="A682" s="307"/>
      <c r="B682" s="307"/>
      <c r="P682" s="260"/>
    </row>
    <row r="683">
      <c r="A683" s="307"/>
      <c r="B683" s="307"/>
      <c r="P683" s="260"/>
    </row>
    <row r="684">
      <c r="A684" s="307"/>
      <c r="B684" s="307"/>
      <c r="P684" s="260"/>
    </row>
    <row r="685">
      <c r="A685" s="307"/>
      <c r="B685" s="307"/>
      <c r="P685" s="260"/>
    </row>
    <row r="686">
      <c r="A686" s="307"/>
      <c r="B686" s="307"/>
      <c r="P686" s="260"/>
    </row>
    <row r="687">
      <c r="A687" s="307"/>
      <c r="B687" s="307"/>
      <c r="P687" s="260"/>
    </row>
    <row r="688">
      <c r="A688" s="307"/>
      <c r="B688" s="307"/>
      <c r="P688" s="260"/>
    </row>
    <row r="689">
      <c r="A689" s="307"/>
      <c r="B689" s="307"/>
      <c r="P689" s="260"/>
    </row>
    <row r="690">
      <c r="A690" s="307"/>
      <c r="B690" s="307"/>
      <c r="P690" s="260"/>
    </row>
    <row r="691">
      <c r="A691" s="307"/>
      <c r="B691" s="307"/>
      <c r="P691" s="260"/>
    </row>
    <row r="692">
      <c r="A692" s="307"/>
      <c r="B692" s="307"/>
      <c r="P692" s="260"/>
    </row>
    <row r="693">
      <c r="A693" s="307"/>
      <c r="B693" s="307"/>
      <c r="P693" s="260"/>
    </row>
    <row r="694">
      <c r="A694" s="307"/>
      <c r="B694" s="307"/>
      <c r="P694" s="260"/>
    </row>
    <row r="695">
      <c r="A695" s="307"/>
      <c r="B695" s="307"/>
      <c r="P695" s="260"/>
    </row>
    <row r="696">
      <c r="A696" s="307"/>
      <c r="B696" s="307"/>
      <c r="P696" s="260"/>
    </row>
    <row r="697">
      <c r="A697" s="307"/>
      <c r="B697" s="307"/>
      <c r="P697" s="260"/>
    </row>
    <row r="698">
      <c r="A698" s="307"/>
      <c r="B698" s="307"/>
      <c r="P698" s="260"/>
    </row>
    <row r="699">
      <c r="A699" s="307"/>
      <c r="B699" s="307"/>
      <c r="P699" s="260"/>
    </row>
    <row r="700">
      <c r="A700" s="307"/>
      <c r="B700" s="307"/>
      <c r="P700" s="260"/>
    </row>
    <row r="701">
      <c r="A701" s="307"/>
      <c r="B701" s="307"/>
      <c r="P701" s="260"/>
    </row>
    <row r="702">
      <c r="A702" s="307"/>
      <c r="B702" s="307"/>
      <c r="P702" s="260"/>
    </row>
    <row r="703">
      <c r="A703" s="307"/>
      <c r="B703" s="307"/>
      <c r="P703" s="260"/>
    </row>
    <row r="704">
      <c r="A704" s="307"/>
      <c r="B704" s="307"/>
      <c r="P704" s="260"/>
    </row>
    <row r="705">
      <c r="A705" s="307"/>
      <c r="B705" s="307"/>
      <c r="P705" s="260"/>
    </row>
    <row r="706">
      <c r="A706" s="307"/>
      <c r="B706" s="307"/>
      <c r="P706" s="260"/>
    </row>
    <row r="707">
      <c r="A707" s="307"/>
      <c r="B707" s="307"/>
      <c r="P707" s="260"/>
    </row>
    <row r="708">
      <c r="A708" s="307"/>
      <c r="B708" s="307"/>
      <c r="P708" s="260"/>
    </row>
    <row r="709">
      <c r="A709" s="307"/>
      <c r="B709" s="307"/>
      <c r="P709" s="260"/>
    </row>
    <row r="710">
      <c r="A710" s="307"/>
      <c r="B710" s="307"/>
      <c r="P710" s="260"/>
    </row>
    <row r="711">
      <c r="A711" s="307"/>
      <c r="B711" s="307"/>
      <c r="P711" s="260"/>
    </row>
    <row r="712">
      <c r="A712" s="307"/>
      <c r="B712" s="307"/>
      <c r="P712" s="260"/>
    </row>
    <row r="713">
      <c r="A713" s="307"/>
      <c r="B713" s="307"/>
      <c r="P713" s="260"/>
    </row>
    <row r="714">
      <c r="A714" s="307"/>
      <c r="B714" s="307"/>
      <c r="P714" s="260"/>
    </row>
    <row r="715">
      <c r="A715" s="307"/>
      <c r="B715" s="307"/>
      <c r="P715" s="260"/>
    </row>
    <row r="716">
      <c r="A716" s="307"/>
      <c r="B716" s="307"/>
      <c r="P716" s="260"/>
    </row>
    <row r="717">
      <c r="A717" s="307"/>
      <c r="B717" s="307"/>
      <c r="P717" s="260"/>
    </row>
    <row r="718">
      <c r="A718" s="307"/>
      <c r="B718" s="307"/>
      <c r="P718" s="260"/>
    </row>
    <row r="719">
      <c r="A719" s="307"/>
      <c r="B719" s="307"/>
      <c r="P719" s="260"/>
    </row>
    <row r="720">
      <c r="A720" s="307"/>
      <c r="B720" s="307"/>
      <c r="P720" s="260"/>
    </row>
    <row r="721">
      <c r="A721" s="307"/>
      <c r="B721" s="307"/>
      <c r="P721" s="260"/>
    </row>
    <row r="722">
      <c r="A722" s="307"/>
      <c r="B722" s="307"/>
      <c r="P722" s="260"/>
    </row>
    <row r="723">
      <c r="A723" s="307"/>
      <c r="B723" s="307"/>
      <c r="P723" s="260"/>
    </row>
    <row r="724">
      <c r="A724" s="307"/>
      <c r="B724" s="307"/>
      <c r="P724" s="260"/>
    </row>
    <row r="725">
      <c r="A725" s="307"/>
      <c r="B725" s="307"/>
      <c r="P725" s="260"/>
    </row>
    <row r="726">
      <c r="A726" s="307"/>
      <c r="B726" s="307"/>
      <c r="P726" s="260"/>
    </row>
    <row r="727">
      <c r="A727" s="307"/>
      <c r="B727" s="307"/>
      <c r="P727" s="260"/>
    </row>
    <row r="728">
      <c r="A728" s="307"/>
      <c r="B728" s="307"/>
      <c r="P728" s="260"/>
    </row>
    <row r="729">
      <c r="A729" s="307"/>
      <c r="B729" s="307"/>
      <c r="P729" s="260"/>
    </row>
    <row r="730">
      <c r="A730" s="307"/>
      <c r="B730" s="307"/>
      <c r="P730" s="260"/>
    </row>
    <row r="731">
      <c r="A731" s="307"/>
      <c r="B731" s="307"/>
      <c r="P731" s="260"/>
    </row>
    <row r="732">
      <c r="A732" s="307"/>
      <c r="B732" s="307"/>
      <c r="P732" s="260"/>
    </row>
    <row r="733">
      <c r="A733" s="307"/>
      <c r="B733" s="307"/>
      <c r="P733" s="260"/>
    </row>
    <row r="734">
      <c r="A734" s="307"/>
      <c r="B734" s="307"/>
      <c r="P734" s="260"/>
    </row>
    <row r="735">
      <c r="A735" s="307"/>
      <c r="B735" s="307"/>
      <c r="P735" s="260"/>
    </row>
    <row r="736">
      <c r="A736" s="307"/>
      <c r="B736" s="307"/>
      <c r="P736" s="260"/>
    </row>
    <row r="737">
      <c r="A737" s="307"/>
      <c r="B737" s="307"/>
      <c r="P737" s="260"/>
    </row>
    <row r="738">
      <c r="A738" s="307"/>
      <c r="B738" s="307"/>
      <c r="P738" s="260"/>
    </row>
    <row r="739">
      <c r="A739" s="307"/>
      <c r="B739" s="307"/>
      <c r="P739" s="260"/>
    </row>
    <row r="740">
      <c r="A740" s="307"/>
      <c r="B740" s="307"/>
      <c r="P740" s="260"/>
    </row>
    <row r="741">
      <c r="A741" s="307"/>
      <c r="B741" s="307"/>
      <c r="P741" s="260"/>
    </row>
    <row r="742">
      <c r="A742" s="307"/>
      <c r="B742" s="307"/>
      <c r="P742" s="260"/>
    </row>
    <row r="743">
      <c r="A743" s="307"/>
      <c r="B743" s="307"/>
      <c r="P743" s="260"/>
    </row>
    <row r="744">
      <c r="A744" s="307"/>
      <c r="B744" s="307"/>
      <c r="P744" s="260"/>
    </row>
    <row r="745">
      <c r="A745" s="307"/>
      <c r="B745" s="307"/>
      <c r="P745" s="260"/>
    </row>
    <row r="746">
      <c r="A746" s="307"/>
      <c r="B746" s="307"/>
      <c r="P746" s="260"/>
    </row>
    <row r="747">
      <c r="A747" s="307"/>
      <c r="B747" s="307"/>
      <c r="P747" s="260"/>
    </row>
    <row r="748">
      <c r="A748" s="307"/>
      <c r="B748" s="307"/>
      <c r="P748" s="260"/>
    </row>
    <row r="749">
      <c r="A749" s="307"/>
      <c r="B749" s="307"/>
      <c r="P749" s="260"/>
    </row>
    <row r="750">
      <c r="A750" s="307"/>
      <c r="B750" s="307"/>
      <c r="P750" s="260"/>
    </row>
    <row r="751">
      <c r="A751" s="307"/>
      <c r="B751" s="307"/>
      <c r="P751" s="260"/>
    </row>
    <row r="752">
      <c r="A752" s="307"/>
      <c r="B752" s="307"/>
      <c r="P752" s="260"/>
    </row>
    <row r="753">
      <c r="A753" s="307"/>
      <c r="B753" s="307"/>
      <c r="P753" s="260"/>
    </row>
    <row r="754">
      <c r="A754" s="307"/>
      <c r="B754" s="307"/>
      <c r="P754" s="260"/>
    </row>
    <row r="755">
      <c r="A755" s="307"/>
      <c r="B755" s="307"/>
      <c r="P755" s="260"/>
    </row>
    <row r="756">
      <c r="A756" s="307"/>
      <c r="B756" s="307"/>
      <c r="P756" s="260"/>
    </row>
    <row r="757">
      <c r="A757" s="307"/>
      <c r="B757" s="307"/>
      <c r="P757" s="260"/>
    </row>
    <row r="758">
      <c r="A758" s="307"/>
      <c r="B758" s="307"/>
      <c r="P758" s="260"/>
    </row>
    <row r="759">
      <c r="A759" s="307"/>
      <c r="B759" s="307"/>
      <c r="P759" s="260"/>
    </row>
    <row r="760">
      <c r="A760" s="307"/>
      <c r="B760" s="307"/>
      <c r="P760" s="260"/>
    </row>
    <row r="761">
      <c r="A761" s="307"/>
      <c r="B761" s="307"/>
      <c r="P761" s="260"/>
    </row>
    <row r="762">
      <c r="A762" s="307"/>
      <c r="B762" s="307"/>
      <c r="P762" s="260"/>
    </row>
    <row r="763">
      <c r="A763" s="307"/>
      <c r="B763" s="307"/>
      <c r="P763" s="260"/>
    </row>
    <row r="764">
      <c r="A764" s="307"/>
      <c r="B764" s="307"/>
      <c r="P764" s="260"/>
    </row>
    <row r="765">
      <c r="A765" s="307"/>
      <c r="B765" s="307"/>
      <c r="P765" s="260"/>
    </row>
    <row r="766">
      <c r="A766" s="307"/>
      <c r="B766" s="307"/>
      <c r="P766" s="260"/>
    </row>
    <row r="767">
      <c r="A767" s="307"/>
      <c r="B767" s="307"/>
      <c r="P767" s="260"/>
    </row>
    <row r="768">
      <c r="A768" s="307"/>
      <c r="B768" s="307"/>
      <c r="P768" s="260"/>
    </row>
    <row r="769">
      <c r="A769" s="307"/>
      <c r="B769" s="307"/>
      <c r="P769" s="260"/>
    </row>
    <row r="770">
      <c r="A770" s="307"/>
      <c r="B770" s="307"/>
      <c r="P770" s="260"/>
    </row>
    <row r="771">
      <c r="A771" s="307"/>
      <c r="B771" s="307"/>
      <c r="P771" s="260"/>
    </row>
    <row r="772">
      <c r="A772" s="307"/>
      <c r="B772" s="307"/>
      <c r="P772" s="260"/>
    </row>
    <row r="773">
      <c r="A773" s="307"/>
      <c r="B773" s="307"/>
      <c r="P773" s="260"/>
    </row>
    <row r="774">
      <c r="A774" s="307"/>
      <c r="B774" s="307"/>
      <c r="P774" s="260"/>
    </row>
    <row r="775">
      <c r="A775" s="307"/>
      <c r="B775" s="307"/>
      <c r="P775" s="260"/>
    </row>
    <row r="776">
      <c r="A776" s="307"/>
      <c r="B776" s="307"/>
      <c r="P776" s="260"/>
    </row>
    <row r="777">
      <c r="A777" s="307"/>
      <c r="B777" s="307"/>
      <c r="P777" s="260"/>
    </row>
    <row r="778">
      <c r="A778" s="307"/>
      <c r="B778" s="307"/>
      <c r="P778" s="260"/>
    </row>
    <row r="779">
      <c r="A779" s="307"/>
      <c r="B779" s="307"/>
      <c r="P779" s="260"/>
    </row>
    <row r="780">
      <c r="A780" s="307"/>
      <c r="B780" s="307"/>
      <c r="P780" s="260"/>
    </row>
    <row r="781">
      <c r="A781" s="307"/>
      <c r="B781" s="307"/>
      <c r="P781" s="260"/>
    </row>
    <row r="782">
      <c r="A782" s="307"/>
      <c r="B782" s="307"/>
      <c r="P782" s="260"/>
    </row>
    <row r="783">
      <c r="A783" s="307"/>
      <c r="B783" s="307"/>
      <c r="P783" s="260"/>
    </row>
    <row r="784">
      <c r="A784" s="307"/>
      <c r="B784" s="307"/>
      <c r="P784" s="260"/>
    </row>
    <row r="785">
      <c r="A785" s="307"/>
      <c r="B785" s="307"/>
      <c r="P785" s="260"/>
    </row>
    <row r="786">
      <c r="A786" s="307"/>
      <c r="B786" s="307"/>
      <c r="P786" s="260"/>
    </row>
    <row r="787">
      <c r="A787" s="307"/>
      <c r="B787" s="307"/>
      <c r="P787" s="260"/>
    </row>
    <row r="788">
      <c r="A788" s="307"/>
      <c r="B788" s="307"/>
      <c r="P788" s="260"/>
    </row>
    <row r="789">
      <c r="A789" s="307"/>
      <c r="B789" s="307"/>
      <c r="P789" s="260"/>
    </row>
    <row r="790">
      <c r="A790" s="307"/>
      <c r="B790" s="307"/>
      <c r="P790" s="260"/>
    </row>
    <row r="791">
      <c r="A791" s="307"/>
      <c r="B791" s="307"/>
      <c r="P791" s="260"/>
    </row>
    <row r="792">
      <c r="A792" s="307"/>
      <c r="B792" s="307"/>
      <c r="P792" s="260"/>
    </row>
    <row r="793">
      <c r="A793" s="307"/>
      <c r="B793" s="307"/>
      <c r="P793" s="260"/>
    </row>
    <row r="794">
      <c r="A794" s="307"/>
      <c r="B794" s="307"/>
      <c r="P794" s="260"/>
    </row>
    <row r="795">
      <c r="A795" s="307"/>
      <c r="B795" s="307"/>
      <c r="P795" s="260"/>
    </row>
    <row r="796">
      <c r="A796" s="307"/>
      <c r="B796" s="307"/>
      <c r="P796" s="260"/>
    </row>
    <row r="797">
      <c r="A797" s="307"/>
      <c r="B797" s="307"/>
      <c r="P797" s="260"/>
    </row>
    <row r="798">
      <c r="A798" s="307"/>
      <c r="B798" s="307"/>
      <c r="P798" s="260"/>
    </row>
    <row r="799">
      <c r="A799" s="307"/>
      <c r="B799" s="307"/>
      <c r="P799" s="260"/>
    </row>
    <row r="800">
      <c r="A800" s="307"/>
      <c r="B800" s="307"/>
      <c r="P800" s="260"/>
    </row>
    <row r="801">
      <c r="A801" s="307"/>
      <c r="B801" s="307"/>
      <c r="P801" s="260"/>
    </row>
    <row r="802">
      <c r="A802" s="307"/>
      <c r="B802" s="307"/>
      <c r="P802" s="260"/>
    </row>
    <row r="803">
      <c r="A803" s="307"/>
      <c r="B803" s="307"/>
      <c r="P803" s="260"/>
    </row>
    <row r="804">
      <c r="A804" s="307"/>
      <c r="B804" s="307"/>
      <c r="P804" s="260"/>
    </row>
    <row r="805">
      <c r="A805" s="307"/>
      <c r="B805" s="307"/>
      <c r="P805" s="260"/>
    </row>
    <row r="806">
      <c r="A806" s="307"/>
      <c r="B806" s="307"/>
      <c r="P806" s="260"/>
    </row>
    <row r="807">
      <c r="A807" s="307"/>
      <c r="B807" s="307"/>
      <c r="P807" s="260"/>
    </row>
    <row r="808">
      <c r="A808" s="307"/>
      <c r="B808" s="307"/>
      <c r="P808" s="260"/>
    </row>
    <row r="809">
      <c r="A809" s="307"/>
      <c r="B809" s="307"/>
      <c r="P809" s="260"/>
    </row>
    <row r="810">
      <c r="A810" s="307"/>
      <c r="B810" s="307"/>
      <c r="P810" s="260"/>
    </row>
    <row r="811">
      <c r="A811" s="307"/>
      <c r="B811" s="307"/>
      <c r="P811" s="260"/>
    </row>
    <row r="812">
      <c r="A812" s="307"/>
      <c r="B812" s="307"/>
      <c r="P812" s="260"/>
    </row>
    <row r="813">
      <c r="A813" s="307"/>
      <c r="B813" s="307"/>
      <c r="P813" s="260"/>
    </row>
    <row r="814">
      <c r="A814" s="307"/>
      <c r="B814" s="307"/>
      <c r="P814" s="260"/>
    </row>
    <row r="815">
      <c r="A815" s="307"/>
      <c r="B815" s="307"/>
      <c r="P815" s="260"/>
    </row>
    <row r="816">
      <c r="A816" s="307"/>
      <c r="B816" s="307"/>
      <c r="P816" s="260"/>
    </row>
    <row r="817">
      <c r="A817" s="307"/>
      <c r="B817" s="307"/>
      <c r="P817" s="260"/>
    </row>
    <row r="818">
      <c r="A818" s="307"/>
      <c r="B818" s="307"/>
      <c r="P818" s="260"/>
    </row>
    <row r="819">
      <c r="A819" s="307"/>
      <c r="B819" s="307"/>
      <c r="P819" s="260"/>
    </row>
    <row r="820">
      <c r="A820" s="307"/>
      <c r="B820" s="307"/>
      <c r="P820" s="260"/>
    </row>
    <row r="821">
      <c r="A821" s="307"/>
      <c r="B821" s="307"/>
      <c r="P821" s="260"/>
    </row>
    <row r="822">
      <c r="A822" s="307"/>
      <c r="B822" s="307"/>
      <c r="P822" s="260"/>
    </row>
    <row r="823">
      <c r="A823" s="307"/>
      <c r="B823" s="307"/>
      <c r="P823" s="260"/>
    </row>
    <row r="824">
      <c r="A824" s="307"/>
      <c r="B824" s="307"/>
      <c r="P824" s="260"/>
    </row>
    <row r="825">
      <c r="A825" s="307"/>
      <c r="B825" s="307"/>
      <c r="P825" s="260"/>
    </row>
    <row r="826">
      <c r="A826" s="307"/>
      <c r="B826" s="307"/>
      <c r="P826" s="260"/>
    </row>
    <row r="827">
      <c r="A827" s="307"/>
      <c r="B827" s="307"/>
      <c r="P827" s="260"/>
    </row>
    <row r="828">
      <c r="A828" s="307"/>
      <c r="B828" s="307"/>
      <c r="P828" s="260"/>
    </row>
    <row r="829">
      <c r="A829" s="307"/>
      <c r="B829" s="307"/>
      <c r="P829" s="260"/>
    </row>
    <row r="830">
      <c r="A830" s="307"/>
      <c r="B830" s="307"/>
      <c r="P830" s="260"/>
    </row>
    <row r="831">
      <c r="A831" s="307"/>
      <c r="B831" s="307"/>
      <c r="P831" s="260"/>
    </row>
    <row r="832">
      <c r="A832" s="307"/>
      <c r="B832" s="307"/>
      <c r="P832" s="260"/>
    </row>
    <row r="833">
      <c r="A833" s="307"/>
      <c r="B833" s="307"/>
      <c r="P833" s="260"/>
    </row>
    <row r="834">
      <c r="A834" s="307"/>
      <c r="B834" s="307"/>
      <c r="P834" s="260"/>
    </row>
    <row r="835">
      <c r="A835" s="307"/>
      <c r="B835" s="307"/>
      <c r="P835" s="260"/>
    </row>
    <row r="836">
      <c r="A836" s="307"/>
      <c r="B836" s="307"/>
      <c r="P836" s="260"/>
    </row>
    <row r="837">
      <c r="A837" s="307"/>
      <c r="B837" s="307"/>
      <c r="P837" s="260"/>
    </row>
    <row r="838">
      <c r="A838" s="307"/>
      <c r="B838" s="307"/>
      <c r="P838" s="260"/>
    </row>
    <row r="839">
      <c r="A839" s="307"/>
      <c r="B839" s="307"/>
      <c r="P839" s="260"/>
    </row>
    <row r="840">
      <c r="A840" s="307"/>
      <c r="B840" s="307"/>
      <c r="P840" s="260"/>
    </row>
    <row r="841">
      <c r="A841" s="307"/>
      <c r="B841" s="307"/>
      <c r="P841" s="260"/>
    </row>
    <row r="842">
      <c r="A842" s="307"/>
      <c r="B842" s="307"/>
      <c r="P842" s="260"/>
    </row>
    <row r="843">
      <c r="A843" s="307"/>
      <c r="B843" s="307"/>
      <c r="P843" s="260"/>
    </row>
    <row r="844">
      <c r="A844" s="307"/>
      <c r="B844" s="307"/>
      <c r="P844" s="260"/>
    </row>
    <row r="845">
      <c r="A845" s="307"/>
      <c r="B845" s="307"/>
      <c r="P845" s="260"/>
    </row>
    <row r="846">
      <c r="A846" s="307"/>
      <c r="B846" s="307"/>
      <c r="P846" s="260"/>
    </row>
    <row r="847">
      <c r="A847" s="307"/>
      <c r="B847" s="307"/>
      <c r="P847" s="260"/>
    </row>
    <row r="848">
      <c r="A848" s="307"/>
      <c r="B848" s="307"/>
      <c r="P848" s="260"/>
    </row>
    <row r="849">
      <c r="A849" s="307"/>
      <c r="B849" s="307"/>
      <c r="P849" s="260"/>
    </row>
    <row r="850">
      <c r="A850" s="307"/>
      <c r="B850" s="307"/>
      <c r="P850" s="260"/>
    </row>
    <row r="851">
      <c r="A851" s="307"/>
      <c r="B851" s="307"/>
      <c r="P851" s="260"/>
    </row>
    <row r="852">
      <c r="A852" s="307"/>
      <c r="B852" s="307"/>
      <c r="P852" s="260"/>
    </row>
    <row r="853">
      <c r="A853" s="307"/>
      <c r="B853" s="307"/>
      <c r="P853" s="260"/>
    </row>
    <row r="854">
      <c r="A854" s="307"/>
      <c r="B854" s="307"/>
      <c r="P854" s="260"/>
    </row>
    <row r="855">
      <c r="A855" s="307"/>
      <c r="B855" s="307"/>
      <c r="P855" s="260"/>
    </row>
    <row r="856">
      <c r="A856" s="307"/>
      <c r="B856" s="307"/>
      <c r="P856" s="260"/>
    </row>
    <row r="857">
      <c r="A857" s="307"/>
      <c r="B857" s="307"/>
      <c r="P857" s="260"/>
    </row>
    <row r="858">
      <c r="A858" s="307"/>
      <c r="B858" s="307"/>
      <c r="P858" s="260"/>
    </row>
    <row r="859">
      <c r="A859" s="307"/>
      <c r="B859" s="307"/>
      <c r="P859" s="260"/>
    </row>
    <row r="860">
      <c r="A860" s="307"/>
      <c r="B860" s="307"/>
      <c r="P860" s="260"/>
    </row>
    <row r="861">
      <c r="A861" s="307"/>
      <c r="B861" s="307"/>
      <c r="P861" s="260"/>
    </row>
    <row r="862">
      <c r="A862" s="307"/>
      <c r="B862" s="307"/>
      <c r="P862" s="260"/>
    </row>
    <row r="863">
      <c r="A863" s="307"/>
      <c r="B863" s="307"/>
      <c r="P863" s="260"/>
    </row>
    <row r="864">
      <c r="A864" s="307"/>
      <c r="B864" s="307"/>
      <c r="P864" s="260"/>
    </row>
    <row r="865">
      <c r="A865" s="307"/>
      <c r="B865" s="307"/>
      <c r="P865" s="260"/>
    </row>
    <row r="866">
      <c r="A866" s="307"/>
      <c r="B866" s="307"/>
      <c r="P866" s="260"/>
    </row>
    <row r="867">
      <c r="A867" s="307"/>
      <c r="B867" s="307"/>
      <c r="P867" s="260"/>
    </row>
    <row r="868">
      <c r="A868" s="307"/>
      <c r="B868" s="307"/>
      <c r="P868" s="260"/>
    </row>
    <row r="869">
      <c r="A869" s="307"/>
      <c r="B869" s="307"/>
      <c r="P869" s="260"/>
    </row>
    <row r="870">
      <c r="A870" s="307"/>
      <c r="B870" s="307"/>
      <c r="P870" s="260"/>
    </row>
    <row r="871">
      <c r="A871" s="307"/>
      <c r="B871" s="307"/>
      <c r="P871" s="260"/>
    </row>
    <row r="872">
      <c r="A872" s="307"/>
      <c r="B872" s="307"/>
      <c r="P872" s="260"/>
    </row>
    <row r="873">
      <c r="A873" s="307"/>
      <c r="B873" s="307"/>
      <c r="P873" s="260"/>
    </row>
    <row r="874">
      <c r="A874" s="307"/>
      <c r="B874" s="307"/>
      <c r="P874" s="260"/>
    </row>
    <row r="875">
      <c r="A875" s="307"/>
      <c r="B875" s="307"/>
      <c r="P875" s="260"/>
    </row>
    <row r="876">
      <c r="A876" s="307"/>
      <c r="B876" s="307"/>
      <c r="P876" s="260"/>
    </row>
    <row r="877">
      <c r="A877" s="307"/>
      <c r="B877" s="307"/>
      <c r="P877" s="260"/>
    </row>
    <row r="878">
      <c r="A878" s="307"/>
      <c r="B878" s="307"/>
      <c r="P878" s="260"/>
    </row>
    <row r="879">
      <c r="A879" s="307"/>
      <c r="B879" s="307"/>
      <c r="P879" s="260"/>
    </row>
    <row r="880">
      <c r="A880" s="307"/>
      <c r="B880" s="307"/>
      <c r="P880" s="260"/>
    </row>
    <row r="881">
      <c r="A881" s="307"/>
      <c r="B881" s="307"/>
      <c r="P881" s="260"/>
    </row>
    <row r="882">
      <c r="A882" s="307"/>
      <c r="B882" s="307"/>
      <c r="P882" s="260"/>
    </row>
    <row r="883">
      <c r="A883" s="307"/>
      <c r="B883" s="307"/>
      <c r="P883" s="260"/>
    </row>
    <row r="884">
      <c r="A884" s="307"/>
      <c r="B884" s="307"/>
      <c r="P884" s="260"/>
    </row>
    <row r="885">
      <c r="A885" s="307"/>
      <c r="B885" s="307"/>
      <c r="P885" s="260"/>
    </row>
    <row r="886">
      <c r="A886" s="307"/>
      <c r="B886" s="307"/>
      <c r="P886" s="260"/>
    </row>
    <row r="887">
      <c r="A887" s="307"/>
      <c r="B887" s="307"/>
      <c r="P887" s="260"/>
    </row>
    <row r="888">
      <c r="A888" s="307"/>
      <c r="B888" s="307"/>
      <c r="P888" s="260"/>
    </row>
    <row r="889">
      <c r="A889" s="307"/>
      <c r="B889" s="307"/>
      <c r="P889" s="260"/>
    </row>
    <row r="890">
      <c r="A890" s="307"/>
      <c r="B890" s="307"/>
      <c r="P890" s="260"/>
    </row>
    <row r="891">
      <c r="A891" s="307"/>
      <c r="B891" s="307"/>
      <c r="P891" s="260"/>
    </row>
    <row r="892">
      <c r="A892" s="307"/>
      <c r="B892" s="307"/>
      <c r="P892" s="260"/>
    </row>
    <row r="893">
      <c r="A893" s="307"/>
      <c r="B893" s="307"/>
      <c r="P893" s="260"/>
    </row>
    <row r="894">
      <c r="A894" s="307"/>
      <c r="B894" s="307"/>
      <c r="P894" s="260"/>
    </row>
    <row r="895">
      <c r="A895" s="307"/>
      <c r="B895" s="307"/>
      <c r="P895" s="260"/>
    </row>
    <row r="896">
      <c r="A896" s="307"/>
      <c r="B896" s="307"/>
      <c r="P896" s="260"/>
    </row>
    <row r="897">
      <c r="A897" s="307"/>
      <c r="B897" s="307"/>
      <c r="P897" s="260"/>
    </row>
    <row r="898">
      <c r="A898" s="307"/>
      <c r="B898" s="307"/>
      <c r="P898" s="260"/>
    </row>
    <row r="899">
      <c r="A899" s="307"/>
      <c r="B899" s="307"/>
      <c r="P899" s="260"/>
    </row>
    <row r="900">
      <c r="A900" s="307"/>
      <c r="B900" s="307"/>
      <c r="P900" s="260"/>
    </row>
    <row r="901">
      <c r="A901" s="307"/>
      <c r="B901" s="307"/>
      <c r="P901" s="260"/>
    </row>
    <row r="902">
      <c r="A902" s="307"/>
      <c r="B902" s="307"/>
      <c r="P902" s="260"/>
    </row>
    <row r="903">
      <c r="A903" s="307"/>
      <c r="B903" s="307"/>
      <c r="P903" s="260"/>
    </row>
    <row r="904">
      <c r="A904" s="307"/>
      <c r="B904" s="307"/>
      <c r="P904" s="260"/>
    </row>
    <row r="905">
      <c r="A905" s="307"/>
      <c r="B905" s="307"/>
      <c r="P905" s="260"/>
    </row>
    <row r="906">
      <c r="A906" s="307"/>
      <c r="B906" s="307"/>
      <c r="P906" s="260"/>
    </row>
    <row r="907">
      <c r="A907" s="307"/>
      <c r="B907" s="307"/>
      <c r="P907" s="260"/>
    </row>
    <row r="908">
      <c r="A908" s="307"/>
      <c r="B908" s="307"/>
      <c r="P908" s="260"/>
    </row>
    <row r="909">
      <c r="A909" s="307"/>
      <c r="B909" s="307"/>
      <c r="P909" s="260"/>
    </row>
    <row r="910">
      <c r="A910" s="307"/>
      <c r="B910" s="307"/>
      <c r="P910" s="260"/>
    </row>
    <row r="911">
      <c r="A911" s="307"/>
      <c r="B911" s="307"/>
      <c r="P911" s="260"/>
    </row>
    <row r="912">
      <c r="A912" s="307"/>
      <c r="B912" s="307"/>
      <c r="P912" s="260"/>
    </row>
    <row r="913">
      <c r="A913" s="307"/>
      <c r="B913" s="307"/>
      <c r="P913" s="260"/>
    </row>
    <row r="914">
      <c r="A914" s="307"/>
      <c r="B914" s="307"/>
      <c r="P914" s="260"/>
    </row>
    <row r="915">
      <c r="A915" s="307"/>
      <c r="B915" s="307"/>
      <c r="P915" s="260"/>
    </row>
    <row r="916">
      <c r="A916" s="307"/>
      <c r="B916" s="307"/>
      <c r="P916" s="260"/>
    </row>
    <row r="917">
      <c r="A917" s="307"/>
      <c r="B917" s="307"/>
      <c r="P917" s="260"/>
    </row>
    <row r="918">
      <c r="A918" s="307"/>
      <c r="B918" s="307"/>
      <c r="P918" s="260"/>
    </row>
    <row r="919">
      <c r="A919" s="307"/>
      <c r="B919" s="307"/>
      <c r="P919" s="260"/>
    </row>
    <row r="920">
      <c r="A920" s="307"/>
      <c r="B920" s="307"/>
      <c r="P920" s="260"/>
    </row>
    <row r="921">
      <c r="A921" s="307"/>
      <c r="B921" s="307"/>
      <c r="P921" s="260"/>
    </row>
    <row r="922">
      <c r="A922" s="307"/>
      <c r="B922" s="307"/>
      <c r="P922" s="260"/>
    </row>
    <row r="923">
      <c r="A923" s="307"/>
      <c r="B923" s="307"/>
      <c r="P923" s="260"/>
    </row>
    <row r="924">
      <c r="A924" s="307"/>
      <c r="B924" s="307"/>
      <c r="P924" s="260"/>
    </row>
    <row r="925">
      <c r="A925" s="307"/>
      <c r="B925" s="307"/>
      <c r="P925" s="260"/>
    </row>
    <row r="926">
      <c r="A926" s="307"/>
      <c r="B926" s="307"/>
      <c r="P926" s="260"/>
    </row>
    <row r="927">
      <c r="A927" s="307"/>
      <c r="B927" s="307"/>
      <c r="P927" s="260"/>
    </row>
    <row r="928">
      <c r="A928" s="307"/>
      <c r="B928" s="307"/>
      <c r="P928" s="260"/>
    </row>
    <row r="929">
      <c r="A929" s="307"/>
      <c r="B929" s="307"/>
      <c r="P929" s="260"/>
    </row>
    <row r="930">
      <c r="A930" s="307"/>
      <c r="B930" s="307"/>
      <c r="P930" s="260"/>
    </row>
    <row r="931">
      <c r="A931" s="307"/>
      <c r="B931" s="307"/>
      <c r="P931" s="260"/>
    </row>
    <row r="932">
      <c r="A932" s="307"/>
      <c r="B932" s="307"/>
      <c r="P932" s="260"/>
    </row>
    <row r="933">
      <c r="A933" s="307"/>
      <c r="B933" s="307"/>
      <c r="P933" s="260"/>
    </row>
    <row r="934">
      <c r="A934" s="307"/>
      <c r="B934" s="307"/>
      <c r="P934" s="260"/>
    </row>
    <row r="935">
      <c r="A935" s="307"/>
      <c r="B935" s="307"/>
      <c r="P935" s="260"/>
    </row>
    <row r="936">
      <c r="A936" s="307"/>
      <c r="B936" s="307"/>
      <c r="P936" s="260"/>
    </row>
    <row r="937">
      <c r="A937" s="307"/>
      <c r="B937" s="307"/>
      <c r="P937" s="260"/>
    </row>
    <row r="938">
      <c r="A938" s="307"/>
      <c r="B938" s="307"/>
      <c r="P938" s="260"/>
    </row>
    <row r="939">
      <c r="A939" s="307"/>
      <c r="B939" s="307"/>
      <c r="P939" s="260"/>
    </row>
    <row r="940">
      <c r="A940" s="307"/>
      <c r="B940" s="307"/>
      <c r="P940" s="260"/>
    </row>
    <row r="941">
      <c r="A941" s="307"/>
      <c r="B941" s="307"/>
      <c r="P941" s="260"/>
    </row>
    <row r="942">
      <c r="A942" s="307"/>
      <c r="B942" s="307"/>
      <c r="P942" s="260"/>
    </row>
    <row r="943">
      <c r="A943" s="307"/>
      <c r="B943" s="307"/>
      <c r="P943" s="260"/>
    </row>
    <row r="944">
      <c r="A944" s="307"/>
      <c r="B944" s="307"/>
      <c r="P944" s="260"/>
    </row>
    <row r="945">
      <c r="A945" s="307"/>
      <c r="B945" s="307"/>
      <c r="P945" s="260"/>
    </row>
    <row r="946">
      <c r="A946" s="307"/>
      <c r="B946" s="307"/>
      <c r="P946" s="260"/>
    </row>
    <row r="947">
      <c r="A947" s="307"/>
      <c r="B947" s="307"/>
      <c r="P947" s="260"/>
    </row>
    <row r="948">
      <c r="A948" s="307"/>
      <c r="B948" s="307"/>
      <c r="P948" s="260"/>
    </row>
    <row r="949">
      <c r="A949" s="307"/>
      <c r="B949" s="307"/>
      <c r="P949" s="260"/>
    </row>
    <row r="950">
      <c r="A950" s="307"/>
      <c r="B950" s="307"/>
      <c r="P950" s="260"/>
    </row>
    <row r="951">
      <c r="A951" s="307"/>
      <c r="B951" s="307"/>
      <c r="P951" s="260"/>
    </row>
    <row r="952">
      <c r="A952" s="307"/>
      <c r="B952" s="307"/>
      <c r="P952" s="260"/>
    </row>
    <row r="953">
      <c r="A953" s="307"/>
      <c r="B953" s="307"/>
      <c r="P953" s="260"/>
    </row>
    <row r="954">
      <c r="A954" s="307"/>
      <c r="B954" s="307"/>
      <c r="P954" s="260"/>
    </row>
    <row r="955">
      <c r="A955" s="307"/>
      <c r="B955" s="307"/>
      <c r="P955" s="260"/>
    </row>
    <row r="956">
      <c r="A956" s="307"/>
      <c r="B956" s="307"/>
      <c r="P956" s="260"/>
    </row>
    <row r="957">
      <c r="A957" s="307"/>
      <c r="B957" s="307"/>
      <c r="P957" s="260"/>
    </row>
    <row r="958">
      <c r="A958" s="307"/>
      <c r="B958" s="307"/>
      <c r="P958" s="260"/>
    </row>
    <row r="959">
      <c r="A959" s="307"/>
      <c r="B959" s="307"/>
      <c r="P959" s="260"/>
    </row>
    <row r="960">
      <c r="A960" s="307"/>
      <c r="B960" s="307"/>
      <c r="P960" s="260"/>
    </row>
    <row r="961">
      <c r="A961" s="307"/>
      <c r="B961" s="307"/>
      <c r="P961" s="260"/>
    </row>
    <row r="962">
      <c r="A962" s="307"/>
      <c r="B962" s="307"/>
      <c r="P962" s="260"/>
    </row>
    <row r="963">
      <c r="A963" s="307"/>
      <c r="B963" s="307"/>
      <c r="P963" s="260"/>
    </row>
    <row r="964">
      <c r="A964" s="307"/>
      <c r="B964" s="307"/>
      <c r="P964" s="260"/>
    </row>
    <row r="965">
      <c r="A965" s="307"/>
      <c r="B965" s="307"/>
      <c r="P965" s="260"/>
    </row>
    <row r="966">
      <c r="A966" s="307"/>
      <c r="B966" s="307"/>
      <c r="P966" s="260"/>
    </row>
    <row r="967">
      <c r="A967" s="307"/>
      <c r="B967" s="307"/>
      <c r="P967" s="260"/>
    </row>
    <row r="968">
      <c r="A968" s="307"/>
      <c r="B968" s="307"/>
      <c r="P968" s="260"/>
    </row>
    <row r="969">
      <c r="A969" s="307"/>
      <c r="B969" s="307"/>
      <c r="P969" s="260"/>
    </row>
    <row r="970">
      <c r="A970" s="307"/>
      <c r="B970" s="307"/>
      <c r="P970" s="260"/>
    </row>
    <row r="971">
      <c r="A971" s="307"/>
      <c r="B971" s="307"/>
      <c r="P971" s="260"/>
    </row>
    <row r="972">
      <c r="A972" s="307"/>
      <c r="B972" s="307"/>
      <c r="P972" s="260"/>
    </row>
    <row r="973">
      <c r="A973" s="307"/>
      <c r="B973" s="307"/>
      <c r="P973" s="260"/>
    </row>
    <row r="974">
      <c r="A974" s="307"/>
      <c r="B974" s="307"/>
      <c r="P974" s="260"/>
    </row>
    <row r="975">
      <c r="A975" s="307"/>
      <c r="B975" s="307"/>
      <c r="P975" s="260"/>
    </row>
    <row r="976">
      <c r="A976" s="307"/>
      <c r="B976" s="307"/>
      <c r="P976" s="260"/>
    </row>
    <row r="977">
      <c r="A977" s="307"/>
      <c r="B977" s="307"/>
      <c r="P977" s="260"/>
    </row>
    <row r="978">
      <c r="A978" s="307"/>
      <c r="B978" s="307"/>
      <c r="P978" s="260"/>
    </row>
    <row r="979">
      <c r="A979" s="307"/>
      <c r="B979" s="307"/>
      <c r="P979" s="260"/>
    </row>
    <row r="980">
      <c r="A980" s="307"/>
      <c r="B980" s="307"/>
      <c r="P980" s="260"/>
    </row>
    <row r="981">
      <c r="A981" s="307"/>
      <c r="B981" s="307"/>
      <c r="P981" s="260"/>
    </row>
    <row r="982">
      <c r="A982" s="307"/>
      <c r="B982" s="307"/>
      <c r="P982" s="260"/>
    </row>
    <row r="983">
      <c r="A983" s="307"/>
      <c r="B983" s="307"/>
      <c r="P983" s="260"/>
    </row>
    <row r="984">
      <c r="A984" s="307"/>
      <c r="B984" s="307"/>
      <c r="P984" s="260"/>
    </row>
    <row r="985">
      <c r="A985" s="307"/>
      <c r="B985" s="307"/>
      <c r="P985" s="260"/>
    </row>
    <row r="986">
      <c r="A986" s="307"/>
      <c r="B986" s="307"/>
      <c r="P986" s="260"/>
    </row>
    <row r="987">
      <c r="A987" s="307"/>
      <c r="B987" s="307"/>
      <c r="P987" s="260"/>
    </row>
    <row r="988">
      <c r="A988" s="307"/>
      <c r="B988" s="307"/>
      <c r="P988" s="260"/>
    </row>
    <row r="989">
      <c r="A989" s="307"/>
      <c r="B989" s="307"/>
      <c r="P989" s="260"/>
    </row>
    <row r="990">
      <c r="A990" s="307"/>
      <c r="B990" s="307"/>
      <c r="P990" s="260"/>
    </row>
    <row r="991">
      <c r="A991" s="307"/>
      <c r="B991" s="307"/>
      <c r="P991" s="260"/>
    </row>
    <row r="992">
      <c r="A992" s="307"/>
      <c r="B992" s="307"/>
      <c r="P992" s="260"/>
    </row>
    <row r="993">
      <c r="A993" s="307"/>
      <c r="B993" s="307"/>
      <c r="P993" s="260"/>
    </row>
    <row r="994">
      <c r="A994" s="307"/>
      <c r="B994" s="307"/>
      <c r="P994" s="260"/>
    </row>
    <row r="995">
      <c r="A995" s="307"/>
      <c r="B995" s="307"/>
      <c r="P995" s="260"/>
    </row>
    <row r="996">
      <c r="A996" s="307"/>
      <c r="B996" s="307"/>
      <c r="P996" s="260"/>
    </row>
    <row r="997">
      <c r="A997" s="307"/>
      <c r="B997" s="307"/>
      <c r="P997" s="260"/>
    </row>
  </sheetData>
  <autoFilter ref="$A$2:$O$39"/>
  <conditionalFormatting sqref="AQ27">
    <cfRule type="cellIs" dxfId="0" priority="1" operator="greaterThan">
      <formula>"70%"</formula>
    </cfRule>
  </conditionalFormatting>
  <conditionalFormatting sqref="AQ27">
    <cfRule type="cellIs" dxfId="1" priority="2" operator="lessThanOrEqual">
      <formula>"40%"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6.0" topLeftCell="D7" activePane="bottomRight" state="frozen"/>
      <selection activeCell="D1" sqref="D1" pane="topRight"/>
      <selection activeCell="A7" sqref="A7" pane="bottomLeft"/>
      <selection activeCell="D7" sqref="D7" pane="bottomRight"/>
    </sheetView>
  </sheetViews>
  <sheetFormatPr customHeight="1" defaultColWidth="14.43" defaultRowHeight="15.0"/>
  <cols>
    <col customWidth="1" min="1" max="1" width="7.57"/>
    <col customWidth="1" min="2" max="2" width="8.71"/>
    <col customWidth="1" min="3" max="3" width="27.57"/>
    <col customWidth="1" min="4" max="7" width="9.43"/>
    <col customWidth="1" min="8" max="8" width="8.43"/>
    <col customWidth="1" min="9" max="9" width="7.29"/>
    <col customWidth="1" min="10" max="19" width="10.0"/>
    <col customWidth="1" min="20" max="28" width="10.43"/>
    <col customWidth="1" min="29" max="32" width="11.86"/>
    <col customWidth="1" min="33" max="34" width="11.71"/>
    <col customWidth="1" min="35" max="38" width="11.0"/>
    <col customWidth="1" min="39" max="40" width="11.14"/>
    <col customWidth="1" min="41" max="41" width="10.14"/>
    <col customWidth="1" min="42" max="44" width="10.43"/>
    <col customWidth="1" min="45" max="45" width="13.57"/>
    <col customWidth="1" min="46" max="46" width="14.0"/>
    <col customWidth="1" min="47" max="47" width="19.43"/>
    <col customWidth="1" min="48" max="48" width="21.14"/>
    <col customWidth="1" min="49" max="49" width="16.0"/>
    <col customWidth="1" min="50" max="50" width="16.57"/>
    <col customWidth="1" min="51" max="51" width="18.71"/>
    <col customWidth="1" min="52" max="52" width="13.14"/>
    <col customWidth="1" min="53" max="61" width="8.71"/>
    <col customWidth="1" min="62" max="64" width="11.14"/>
    <col customWidth="1" min="65" max="71" width="8.71"/>
  </cols>
  <sheetData>
    <row r="1" ht="14.25" customHeight="1">
      <c r="A1" s="310" t="s">
        <v>4</v>
      </c>
      <c r="D1" s="2"/>
    </row>
    <row r="2" ht="27.0" customHeight="1"/>
    <row r="3" ht="27.75" customHeight="1">
      <c r="A3" s="311" t="s">
        <v>110</v>
      </c>
      <c r="B3" s="311" t="s">
        <v>111</v>
      </c>
      <c r="C3" s="311" t="s">
        <v>112</v>
      </c>
      <c r="D3" s="312" t="s">
        <v>210</v>
      </c>
      <c r="E3" s="20"/>
      <c r="F3" s="20"/>
      <c r="G3" s="21"/>
      <c r="H3" s="313" t="s">
        <v>211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311" t="s">
        <v>212</v>
      </c>
      <c r="U3" s="314" t="s">
        <v>213</v>
      </c>
      <c r="V3" s="315"/>
      <c r="W3" s="106"/>
      <c r="X3" s="316" t="s">
        <v>214</v>
      </c>
      <c r="Y3" s="315"/>
      <c r="Z3" s="106"/>
      <c r="AA3" s="317" t="s">
        <v>213</v>
      </c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1"/>
      <c r="AM3" s="317" t="s">
        <v>214</v>
      </c>
      <c r="AN3" s="20"/>
      <c r="AO3" s="20"/>
      <c r="AP3" s="20"/>
      <c r="AQ3" s="20"/>
      <c r="AR3" s="20"/>
      <c r="AS3" s="21"/>
      <c r="AT3" s="107" t="s">
        <v>213</v>
      </c>
      <c r="AU3" s="20"/>
      <c r="AV3" s="21"/>
      <c r="AW3" s="107" t="s">
        <v>214</v>
      </c>
      <c r="AX3" s="20"/>
      <c r="AY3" s="21"/>
      <c r="AZ3" s="314" t="s">
        <v>215</v>
      </c>
      <c r="BA3" s="315"/>
      <c r="BB3" s="315"/>
      <c r="BC3" s="315"/>
      <c r="BD3" s="315"/>
      <c r="BE3" s="315"/>
      <c r="BF3" s="315"/>
      <c r="BG3" s="106"/>
      <c r="BH3" s="318" t="s">
        <v>216</v>
      </c>
      <c r="BI3" s="315"/>
      <c r="BJ3" s="106"/>
      <c r="BK3" s="318" t="s">
        <v>217</v>
      </c>
      <c r="BL3" s="315"/>
      <c r="BM3" s="315"/>
      <c r="BN3" s="315"/>
      <c r="BO3" s="315"/>
      <c r="BP3" s="106"/>
      <c r="BQ3" s="166"/>
      <c r="BR3" s="166"/>
      <c r="BS3" s="166"/>
    </row>
    <row r="4" ht="27.0" customHeight="1">
      <c r="A4" s="130"/>
      <c r="B4" s="130"/>
      <c r="C4" s="130"/>
      <c r="D4" s="319" t="s">
        <v>218</v>
      </c>
      <c r="E4" s="319" t="s">
        <v>219</v>
      </c>
      <c r="F4" s="319" t="s">
        <v>220</v>
      </c>
      <c r="G4" s="319" t="s">
        <v>221</v>
      </c>
      <c r="H4" s="319" t="s">
        <v>98</v>
      </c>
      <c r="I4" s="320" t="s">
        <v>68</v>
      </c>
      <c r="J4" s="320" t="s">
        <v>69</v>
      </c>
      <c r="K4" s="321" t="s">
        <v>38</v>
      </c>
      <c r="L4" s="321" t="s">
        <v>222</v>
      </c>
      <c r="M4" s="321" t="s">
        <v>223</v>
      </c>
      <c r="N4" s="321" t="s">
        <v>224</v>
      </c>
      <c r="O4" s="321" t="s">
        <v>74</v>
      </c>
      <c r="P4" s="321" t="s">
        <v>225</v>
      </c>
      <c r="Q4" s="321" t="s">
        <v>226</v>
      </c>
      <c r="R4" s="321" t="s">
        <v>227</v>
      </c>
      <c r="S4" s="322" t="s">
        <v>228</v>
      </c>
      <c r="T4" s="130"/>
      <c r="U4" s="108"/>
      <c r="V4" s="323"/>
      <c r="W4" s="109"/>
      <c r="X4" s="108"/>
      <c r="Y4" s="323"/>
      <c r="Z4" s="109"/>
      <c r="AA4" s="107" t="s">
        <v>38</v>
      </c>
      <c r="AB4" s="20"/>
      <c r="AC4" s="20"/>
      <c r="AD4" s="20"/>
      <c r="AE4" s="20"/>
      <c r="AF4" s="21"/>
      <c r="AG4" s="107" t="s">
        <v>74</v>
      </c>
      <c r="AH4" s="20"/>
      <c r="AI4" s="21"/>
      <c r="AJ4" s="107" t="s">
        <v>42</v>
      </c>
      <c r="AK4" s="20"/>
      <c r="AL4" s="21"/>
      <c r="AM4" s="107" t="s">
        <v>38</v>
      </c>
      <c r="AN4" s="20"/>
      <c r="AO4" s="21"/>
      <c r="AP4" s="107" t="s">
        <v>74</v>
      </c>
      <c r="AQ4" s="20"/>
      <c r="AR4" s="21"/>
      <c r="AS4" s="324" t="s">
        <v>229</v>
      </c>
      <c r="AT4" s="325" t="s">
        <v>70</v>
      </c>
      <c r="AU4" s="325" t="s">
        <v>71</v>
      </c>
      <c r="AV4" s="325" t="s">
        <v>72</v>
      </c>
      <c r="AW4" s="325" t="s">
        <v>70</v>
      </c>
      <c r="AX4" s="325" t="s">
        <v>71</v>
      </c>
      <c r="AY4" s="325" t="s">
        <v>72</v>
      </c>
      <c r="AZ4" s="326" t="s">
        <v>98</v>
      </c>
      <c r="BA4" s="326" t="s">
        <v>68</v>
      </c>
      <c r="BB4" s="326" t="s">
        <v>69</v>
      </c>
      <c r="BC4" s="326" t="s">
        <v>38</v>
      </c>
      <c r="BD4" s="326" t="s">
        <v>74</v>
      </c>
      <c r="BE4" s="326" t="s">
        <v>91</v>
      </c>
      <c r="BF4" s="326" t="s">
        <v>92</v>
      </c>
      <c r="BG4" s="326" t="s">
        <v>93</v>
      </c>
      <c r="BH4" s="108"/>
      <c r="BI4" s="323"/>
      <c r="BJ4" s="109"/>
      <c r="BK4" s="108"/>
      <c r="BL4" s="323"/>
      <c r="BM4" s="323"/>
      <c r="BN4" s="323"/>
      <c r="BO4" s="323"/>
      <c r="BP4" s="109"/>
      <c r="BQ4" s="166"/>
      <c r="BR4" s="166"/>
      <c r="BS4" s="166"/>
    </row>
    <row r="5" ht="25.5" customHeight="1">
      <c r="A5" s="23"/>
      <c r="B5" s="23"/>
      <c r="C5" s="23"/>
      <c r="D5" s="130"/>
      <c r="E5" s="130"/>
      <c r="F5" s="130"/>
      <c r="G5" s="130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327" t="s">
        <v>67</v>
      </c>
      <c r="V5" s="327" t="s">
        <v>68</v>
      </c>
      <c r="W5" s="327" t="s">
        <v>69</v>
      </c>
      <c r="X5" s="327" t="s">
        <v>67</v>
      </c>
      <c r="Y5" s="327" t="s">
        <v>68</v>
      </c>
      <c r="Z5" s="327" t="s">
        <v>69</v>
      </c>
      <c r="AA5" s="327" t="s">
        <v>67</v>
      </c>
      <c r="AB5" s="327" t="s">
        <v>68</v>
      </c>
      <c r="AC5" s="328" t="s">
        <v>69</v>
      </c>
      <c r="AD5" s="328" t="s">
        <v>91</v>
      </c>
      <c r="AE5" s="328" t="s">
        <v>92</v>
      </c>
      <c r="AF5" s="328" t="s">
        <v>230</v>
      </c>
      <c r="AG5" s="328" t="s">
        <v>67</v>
      </c>
      <c r="AH5" s="328" t="s">
        <v>68</v>
      </c>
      <c r="AI5" s="328" t="s">
        <v>69</v>
      </c>
      <c r="AJ5" s="328" t="s">
        <v>67</v>
      </c>
      <c r="AK5" s="328" t="s">
        <v>68</v>
      </c>
      <c r="AL5" s="328" t="s">
        <v>69</v>
      </c>
      <c r="AM5" s="327" t="s">
        <v>67</v>
      </c>
      <c r="AN5" s="327" t="s">
        <v>68</v>
      </c>
      <c r="AO5" s="328" t="s">
        <v>69</v>
      </c>
      <c r="AP5" s="328" t="s">
        <v>67</v>
      </c>
      <c r="AQ5" s="328" t="s">
        <v>68</v>
      </c>
      <c r="AR5" s="328" t="s">
        <v>69</v>
      </c>
      <c r="AS5" s="329" t="s">
        <v>67</v>
      </c>
      <c r="AT5" s="109"/>
      <c r="AU5" s="109"/>
      <c r="AV5" s="109"/>
      <c r="AW5" s="109"/>
      <c r="AX5" s="109"/>
      <c r="AY5" s="109"/>
      <c r="AZ5" s="23"/>
      <c r="BA5" s="23"/>
      <c r="BB5" s="23"/>
      <c r="BC5" s="23"/>
      <c r="BD5" s="23"/>
      <c r="BE5" s="23"/>
      <c r="BF5" s="23"/>
      <c r="BG5" s="23"/>
      <c r="BH5" s="327" t="s">
        <v>98</v>
      </c>
      <c r="BI5" s="327" t="s">
        <v>68</v>
      </c>
      <c r="BJ5" s="327" t="s">
        <v>69</v>
      </c>
      <c r="BK5" s="330" t="s">
        <v>98</v>
      </c>
      <c r="BL5" s="330" t="s">
        <v>68</v>
      </c>
      <c r="BM5" s="330" t="s">
        <v>69</v>
      </c>
      <c r="BN5" s="330" t="s">
        <v>38</v>
      </c>
      <c r="BO5" s="330" t="s">
        <v>74</v>
      </c>
      <c r="BP5" s="330" t="s">
        <v>42</v>
      </c>
      <c r="BQ5" s="1"/>
      <c r="BR5" s="1"/>
      <c r="BS5" s="1"/>
    </row>
    <row r="6" ht="14.25" customHeight="1">
      <c r="A6" s="181" t="s">
        <v>146</v>
      </c>
      <c r="B6" s="182">
        <v>853.0</v>
      </c>
      <c r="C6" s="182" t="s">
        <v>147</v>
      </c>
      <c r="D6" s="182">
        <v>12.0</v>
      </c>
      <c r="E6" s="182">
        <v>9.0</v>
      </c>
      <c r="F6" s="182">
        <v>7.0</v>
      </c>
      <c r="G6" s="182">
        <v>12.0</v>
      </c>
      <c r="H6" s="331">
        <v>11.25845</v>
      </c>
      <c r="I6" s="331">
        <v>10.35493</v>
      </c>
      <c r="J6" s="331">
        <v>16.69492</v>
      </c>
      <c r="K6" s="196">
        <v>9.694995</v>
      </c>
      <c r="L6" s="196">
        <v>8.274212</v>
      </c>
      <c r="M6" s="196">
        <v>13.16</v>
      </c>
      <c r="N6" s="196">
        <v>13.69301</v>
      </c>
      <c r="O6" s="196">
        <v>16.77</v>
      </c>
      <c r="P6" s="196">
        <v>15.09447</v>
      </c>
      <c r="Q6" s="196">
        <v>21.13867</v>
      </c>
      <c r="R6" s="196">
        <v>0.0</v>
      </c>
      <c r="S6" s="196">
        <v>0.0</v>
      </c>
      <c r="T6" s="183">
        <v>416.0</v>
      </c>
      <c r="U6" s="35">
        <v>8.0</v>
      </c>
      <c r="V6" s="35">
        <v>6.0</v>
      </c>
      <c r="W6" s="36">
        <f t="shared" ref="W6:W42" si="1">U6-V6</f>
        <v>2</v>
      </c>
      <c r="X6" s="35">
        <v>402.0</v>
      </c>
      <c r="Y6" s="35">
        <v>348.0</v>
      </c>
      <c r="Z6" s="36">
        <f t="shared" ref="Z6:Z42" si="2">X6-Y6</f>
        <v>54</v>
      </c>
      <c r="AA6" s="35">
        <v>5.0</v>
      </c>
      <c r="AB6" s="35">
        <v>5.0</v>
      </c>
      <c r="AC6" s="185">
        <v>0.0</v>
      </c>
      <c r="AD6" s="226">
        <v>3.0</v>
      </c>
      <c r="AE6" s="185">
        <v>2.0</v>
      </c>
      <c r="AF6" s="185">
        <v>0.0</v>
      </c>
      <c r="AG6" s="35">
        <f t="shared" ref="AG6:AG42" si="3">AH6+AI6</f>
        <v>2</v>
      </c>
      <c r="AH6" s="35">
        <v>1.0</v>
      </c>
      <c r="AI6" s="35">
        <v>1.0</v>
      </c>
      <c r="AJ6" s="35">
        <v>0.0</v>
      </c>
      <c r="AK6" s="35">
        <v>0.0</v>
      </c>
      <c r="AL6" s="35">
        <v>0.0</v>
      </c>
      <c r="AM6" s="35">
        <v>328.0</v>
      </c>
      <c r="AN6" s="35">
        <v>298.0</v>
      </c>
      <c r="AO6" s="35">
        <v>30.0</v>
      </c>
      <c r="AP6" s="332">
        <v>69.0</v>
      </c>
      <c r="AQ6" s="332">
        <v>46.0</v>
      </c>
      <c r="AR6" s="35">
        <f t="shared" ref="AR6:AR42" si="4">AP6-AQ6</f>
        <v>23</v>
      </c>
      <c r="AS6" s="35">
        <v>2.0</v>
      </c>
      <c r="AT6" s="35">
        <v>4.0</v>
      </c>
      <c r="AU6" s="35">
        <v>4.0</v>
      </c>
      <c r="AV6" s="35">
        <v>0.0</v>
      </c>
      <c r="AW6" s="35">
        <v>288.0</v>
      </c>
      <c r="AX6" s="35">
        <v>90.0</v>
      </c>
      <c r="AY6" s="35">
        <v>24.0</v>
      </c>
      <c r="AZ6" s="35">
        <v>426.375</v>
      </c>
      <c r="BA6" s="35">
        <v>241.8333</v>
      </c>
      <c r="BB6" s="35">
        <v>980.0</v>
      </c>
      <c r="BC6" s="35">
        <v>205.8</v>
      </c>
      <c r="BD6" s="35">
        <v>398.0</v>
      </c>
      <c r="BE6" s="35">
        <v>111.75</v>
      </c>
      <c r="BF6" s="35">
        <v>741.0</v>
      </c>
      <c r="BG6" s="35">
        <v>0.0</v>
      </c>
      <c r="BH6" s="35">
        <v>162.5771</v>
      </c>
      <c r="BI6" s="35">
        <v>118.3592</v>
      </c>
      <c r="BJ6" s="35">
        <v>447.537</v>
      </c>
      <c r="BK6" s="35">
        <v>177.5505</v>
      </c>
      <c r="BL6" s="35">
        <v>121.5098</v>
      </c>
      <c r="BM6" s="35">
        <v>516.6441</v>
      </c>
      <c r="BN6" s="35">
        <v>139.8813</v>
      </c>
      <c r="BO6" s="35">
        <v>288.9167</v>
      </c>
      <c r="BP6" s="35">
        <v>945.5</v>
      </c>
      <c r="BQ6" s="218"/>
      <c r="BR6" s="218"/>
      <c r="BS6" s="218"/>
    </row>
    <row r="7" ht="14.25" customHeight="1">
      <c r="A7" s="181" t="s">
        <v>148</v>
      </c>
      <c r="B7" s="182">
        <v>902.0</v>
      </c>
      <c r="C7" s="182" t="s">
        <v>149</v>
      </c>
      <c r="D7" s="182">
        <v>25.0</v>
      </c>
      <c r="E7" s="182">
        <v>15.0</v>
      </c>
      <c r="F7" s="182">
        <v>10.0</v>
      </c>
      <c r="G7" s="182">
        <v>31.0</v>
      </c>
      <c r="H7" s="331">
        <v>25.77871</v>
      </c>
      <c r="I7" s="331">
        <v>23.72128</v>
      </c>
      <c r="J7" s="331">
        <v>34.22068</v>
      </c>
      <c r="K7" s="196">
        <v>23.94427</v>
      </c>
      <c r="L7" s="196">
        <v>23.864</v>
      </c>
      <c r="M7" s="196">
        <v>29.18</v>
      </c>
      <c r="N7" s="196">
        <v>23.77999</v>
      </c>
      <c r="O7" s="196">
        <v>29.48</v>
      </c>
      <c r="P7" s="196">
        <v>25.50347</v>
      </c>
      <c r="Q7" s="196">
        <v>35.18466</v>
      </c>
      <c r="R7" s="196">
        <v>33.3</v>
      </c>
      <c r="S7" s="196">
        <v>41.52</v>
      </c>
      <c r="T7" s="183">
        <v>61948.0</v>
      </c>
      <c r="U7" s="35">
        <v>10317.0</v>
      </c>
      <c r="V7" s="35">
        <v>6697.0</v>
      </c>
      <c r="W7" s="36">
        <f t="shared" si="1"/>
        <v>3620</v>
      </c>
      <c r="X7" s="35">
        <v>45587.0</v>
      </c>
      <c r="Y7" s="35">
        <v>38415.0</v>
      </c>
      <c r="Z7" s="36">
        <f t="shared" si="2"/>
        <v>7172</v>
      </c>
      <c r="AA7" s="35">
        <v>5818.0</v>
      </c>
      <c r="AB7" s="35">
        <v>4636.0</v>
      </c>
      <c r="AC7" s="185">
        <v>1182.0</v>
      </c>
      <c r="AD7" s="226">
        <v>5087.0</v>
      </c>
      <c r="AE7" s="185">
        <v>125.0</v>
      </c>
      <c r="AF7" s="185">
        <v>606.0</v>
      </c>
      <c r="AG7" s="35">
        <f t="shared" si="3"/>
        <v>3489</v>
      </c>
      <c r="AH7" s="35">
        <v>1431.0</v>
      </c>
      <c r="AI7" s="35">
        <v>2058.0</v>
      </c>
      <c r="AJ7" s="35">
        <v>615.0</v>
      </c>
      <c r="AK7" s="35">
        <v>307.0</v>
      </c>
      <c r="AL7" s="35">
        <v>308.0</v>
      </c>
      <c r="AM7" s="35">
        <v>32370.0</v>
      </c>
      <c r="AN7" s="35">
        <v>30155.0</v>
      </c>
      <c r="AO7" s="35">
        <v>2215.0</v>
      </c>
      <c r="AP7" s="332">
        <v>10240.0</v>
      </c>
      <c r="AQ7" s="185">
        <v>5754.0</v>
      </c>
      <c r="AR7" s="35">
        <f t="shared" si="4"/>
        <v>4486</v>
      </c>
      <c r="AS7" s="35">
        <v>763.0</v>
      </c>
      <c r="AT7" s="35">
        <v>7322.0</v>
      </c>
      <c r="AU7" s="35">
        <v>737.0</v>
      </c>
      <c r="AV7" s="35">
        <v>2258.0</v>
      </c>
      <c r="AW7" s="35">
        <v>34842.0</v>
      </c>
      <c r="AX7" s="35">
        <v>1911.0</v>
      </c>
      <c r="AY7" s="35">
        <v>8834.0</v>
      </c>
      <c r="AZ7" s="35">
        <v>270.2679</v>
      </c>
      <c r="BA7" s="35">
        <v>206.1392</v>
      </c>
      <c r="BB7" s="35">
        <v>388.9061</v>
      </c>
      <c r="BC7" s="35">
        <v>178.7834</v>
      </c>
      <c r="BD7" s="35">
        <v>431.6458</v>
      </c>
      <c r="BE7" s="35">
        <v>164.4185</v>
      </c>
      <c r="BF7" s="35">
        <v>600.0109</v>
      </c>
      <c r="BG7" s="35">
        <v>505.8787</v>
      </c>
      <c r="BH7" s="35">
        <v>95.55053</v>
      </c>
      <c r="BI7" s="35">
        <v>85.72951</v>
      </c>
      <c r="BJ7" s="35">
        <v>148.1544</v>
      </c>
      <c r="BK7" s="35">
        <v>133.0898</v>
      </c>
      <c r="BL7" s="35">
        <v>107.9901</v>
      </c>
      <c r="BM7" s="35">
        <v>236.0901</v>
      </c>
      <c r="BN7" s="35">
        <v>102.9333</v>
      </c>
      <c r="BO7" s="35">
        <v>220.5998</v>
      </c>
      <c r="BP7" s="35">
        <v>137.284</v>
      </c>
      <c r="BQ7" s="218"/>
      <c r="BR7" s="218"/>
      <c r="BS7" s="218"/>
    </row>
    <row r="8" ht="14.25" customHeight="1">
      <c r="A8" s="181" t="s">
        <v>150</v>
      </c>
      <c r="B8" s="182">
        <v>669.0</v>
      </c>
      <c r="C8" s="182" t="s">
        <v>151</v>
      </c>
      <c r="D8" s="182">
        <v>11.0</v>
      </c>
      <c r="E8" s="182">
        <v>8.0</v>
      </c>
      <c r="F8" s="182">
        <v>10.0</v>
      </c>
      <c r="G8" s="182">
        <v>19.0</v>
      </c>
      <c r="H8" s="331">
        <v>14.15187</v>
      </c>
      <c r="I8" s="331">
        <v>13.86699</v>
      </c>
      <c r="J8" s="331">
        <v>16.57534</v>
      </c>
      <c r="K8" s="196">
        <v>13.65616</v>
      </c>
      <c r="L8" s="196">
        <v>13.34578</v>
      </c>
      <c r="M8" s="196">
        <v>16.47</v>
      </c>
      <c r="N8" s="196">
        <v>15.37232</v>
      </c>
      <c r="O8" s="196">
        <v>15.27</v>
      </c>
      <c r="P8" s="196">
        <v>14.61456</v>
      </c>
      <c r="Q8" s="196">
        <v>17.60778</v>
      </c>
      <c r="R8" s="196">
        <v>8.07</v>
      </c>
      <c r="S8" s="196">
        <v>14.14</v>
      </c>
      <c r="T8" s="183">
        <v>3603.0</v>
      </c>
      <c r="U8" s="35">
        <v>304.0</v>
      </c>
      <c r="V8" s="35">
        <v>286.0</v>
      </c>
      <c r="W8" s="36">
        <f t="shared" si="1"/>
        <v>18</v>
      </c>
      <c r="X8" s="35">
        <v>3188.0</v>
      </c>
      <c r="Y8" s="35">
        <v>2857.0</v>
      </c>
      <c r="Z8" s="36">
        <f t="shared" si="2"/>
        <v>331</v>
      </c>
      <c r="AA8" s="35">
        <v>267.0</v>
      </c>
      <c r="AB8" s="35">
        <v>258.0</v>
      </c>
      <c r="AC8" s="185">
        <v>9.0</v>
      </c>
      <c r="AD8" s="226">
        <v>247.0</v>
      </c>
      <c r="AE8" s="185">
        <v>9.0</v>
      </c>
      <c r="AF8" s="185">
        <v>11.0</v>
      </c>
      <c r="AG8" s="35">
        <f t="shared" si="3"/>
        <v>26</v>
      </c>
      <c r="AH8" s="35">
        <v>21.0</v>
      </c>
      <c r="AI8" s="35">
        <v>5.0</v>
      </c>
      <c r="AJ8" s="35">
        <v>5.0</v>
      </c>
      <c r="AK8" s="35">
        <v>3.0</v>
      </c>
      <c r="AL8" s="35">
        <v>2.0</v>
      </c>
      <c r="AM8" s="35">
        <v>2611.0</v>
      </c>
      <c r="AN8" s="35">
        <v>2453.0</v>
      </c>
      <c r="AO8" s="35">
        <v>158.0</v>
      </c>
      <c r="AP8" s="332">
        <v>447.0</v>
      </c>
      <c r="AQ8" s="35">
        <v>302.0</v>
      </c>
      <c r="AR8" s="35">
        <f t="shared" si="4"/>
        <v>145</v>
      </c>
      <c r="AS8" s="35">
        <v>56.0</v>
      </c>
      <c r="AT8" s="35">
        <v>276.0</v>
      </c>
      <c r="AU8" s="35">
        <v>17.0</v>
      </c>
      <c r="AV8" s="35">
        <v>11.0</v>
      </c>
      <c r="AW8" s="35">
        <v>2721.0</v>
      </c>
      <c r="AX8" s="35">
        <v>295.0</v>
      </c>
      <c r="AY8" s="35">
        <v>172.0</v>
      </c>
      <c r="AZ8" s="35">
        <v>135.125</v>
      </c>
      <c r="BA8" s="35">
        <v>93.6049</v>
      </c>
      <c r="BB8" s="35">
        <v>794.8333</v>
      </c>
      <c r="BC8" s="35">
        <v>116.1199</v>
      </c>
      <c r="BD8" s="35">
        <v>243.7692</v>
      </c>
      <c r="BE8" s="35">
        <v>62.63768</v>
      </c>
      <c r="BF8" s="35">
        <v>740.2941</v>
      </c>
      <c r="BG8" s="35">
        <v>1018.636</v>
      </c>
      <c r="BH8" s="35">
        <v>87.79893</v>
      </c>
      <c r="BI8" s="35">
        <v>71.96605</v>
      </c>
      <c r="BJ8" s="35">
        <v>224.4592</v>
      </c>
      <c r="BK8" s="35">
        <v>98.35748</v>
      </c>
      <c r="BL8" s="35">
        <v>78.23067</v>
      </c>
      <c r="BM8" s="35">
        <v>274.7534</v>
      </c>
      <c r="BN8" s="35">
        <v>74.11138</v>
      </c>
      <c r="BO8" s="35">
        <v>188.7475</v>
      </c>
      <c r="BP8" s="35">
        <v>306.7647</v>
      </c>
      <c r="BQ8" s="218"/>
      <c r="BR8" s="218"/>
      <c r="BS8" s="218"/>
    </row>
    <row r="9" ht="14.25" customHeight="1">
      <c r="A9" s="181" t="s">
        <v>150</v>
      </c>
      <c r="B9" s="182">
        <v>848.0</v>
      </c>
      <c r="C9" s="182" t="s">
        <v>152</v>
      </c>
      <c r="D9" s="182">
        <v>21.0</v>
      </c>
      <c r="E9" s="182">
        <v>14.0</v>
      </c>
      <c r="F9" s="182">
        <v>11.0</v>
      </c>
      <c r="G9" s="182">
        <v>20.0</v>
      </c>
      <c r="H9" s="331">
        <v>23.04665</v>
      </c>
      <c r="I9" s="331">
        <v>23.15579</v>
      </c>
      <c r="J9" s="331">
        <v>21.1948</v>
      </c>
      <c r="K9" s="196">
        <v>25.13498</v>
      </c>
      <c r="L9" s="196">
        <v>25.55408</v>
      </c>
      <c r="M9" s="196">
        <v>27.21</v>
      </c>
      <c r="N9" s="196">
        <v>22.21449</v>
      </c>
      <c r="O9" s="196">
        <v>16.89</v>
      </c>
      <c r="P9" s="196">
        <v>13.91363</v>
      </c>
      <c r="Q9" s="196">
        <v>20.13248</v>
      </c>
      <c r="R9" s="196">
        <v>15.34</v>
      </c>
      <c r="S9" s="196">
        <v>14.14</v>
      </c>
      <c r="T9" s="183">
        <v>60859.0</v>
      </c>
      <c r="U9" s="35">
        <v>10775.0</v>
      </c>
      <c r="V9" s="35">
        <v>10310.0</v>
      </c>
      <c r="W9" s="36">
        <f t="shared" si="1"/>
        <v>465</v>
      </c>
      <c r="X9" s="35">
        <v>45415.0</v>
      </c>
      <c r="Y9" s="35">
        <v>42743.0</v>
      </c>
      <c r="Z9" s="36">
        <f t="shared" si="2"/>
        <v>2672</v>
      </c>
      <c r="AA9" s="35">
        <v>9707.0</v>
      </c>
      <c r="AB9" s="35">
        <v>9375.0</v>
      </c>
      <c r="AC9" s="185">
        <v>332.0</v>
      </c>
      <c r="AD9" s="226">
        <v>8240.0</v>
      </c>
      <c r="AE9" s="185">
        <v>328.0</v>
      </c>
      <c r="AF9" s="185">
        <v>1139.0</v>
      </c>
      <c r="AG9" s="35">
        <f t="shared" si="3"/>
        <v>329</v>
      </c>
      <c r="AH9" s="35">
        <v>236.0</v>
      </c>
      <c r="AI9" s="35">
        <v>93.0</v>
      </c>
      <c r="AJ9" s="35">
        <v>247.0</v>
      </c>
      <c r="AK9" s="35">
        <v>230.0</v>
      </c>
      <c r="AL9" s="35">
        <v>17.0</v>
      </c>
      <c r="AM9" s="35">
        <v>31643.0</v>
      </c>
      <c r="AN9" s="35">
        <v>30138.0</v>
      </c>
      <c r="AO9" s="35">
        <v>1505.0</v>
      </c>
      <c r="AP9" s="332">
        <v>5311.0</v>
      </c>
      <c r="AQ9" s="35">
        <v>4402.0</v>
      </c>
      <c r="AR9" s="35">
        <f t="shared" si="4"/>
        <v>909</v>
      </c>
      <c r="AS9" s="35">
        <v>3494.0</v>
      </c>
      <c r="AT9" s="35">
        <v>8750.0</v>
      </c>
      <c r="AU9" s="35">
        <v>566.0</v>
      </c>
      <c r="AV9" s="35">
        <v>1459.0</v>
      </c>
      <c r="AW9" s="35">
        <v>32471.0</v>
      </c>
      <c r="AX9" s="35">
        <v>3148.0</v>
      </c>
      <c r="AY9" s="35">
        <v>9796.0</v>
      </c>
      <c r="AZ9" s="35">
        <v>233.7103</v>
      </c>
      <c r="BA9" s="35">
        <v>219.5855</v>
      </c>
      <c r="BB9" s="35">
        <v>546.886</v>
      </c>
      <c r="BC9" s="35">
        <v>217.8317</v>
      </c>
      <c r="BD9" s="35">
        <v>763.079</v>
      </c>
      <c r="BE9" s="35">
        <v>149.9445</v>
      </c>
      <c r="BF9" s="35">
        <v>890.5777</v>
      </c>
      <c r="BG9" s="35">
        <v>481.2522</v>
      </c>
      <c r="BH9" s="35">
        <v>92.8824</v>
      </c>
      <c r="BI9" s="35">
        <v>84.1217</v>
      </c>
      <c r="BJ9" s="35">
        <v>233.024</v>
      </c>
      <c r="BK9" s="35">
        <v>123.9744</v>
      </c>
      <c r="BL9" s="35">
        <v>114.0493</v>
      </c>
      <c r="BM9" s="35">
        <v>292.4406</v>
      </c>
      <c r="BN9" s="35">
        <v>114.5939</v>
      </c>
      <c r="BO9" s="35">
        <v>272.5795</v>
      </c>
      <c r="BP9" s="35">
        <v>99.44129</v>
      </c>
      <c r="BQ9" s="218"/>
      <c r="BR9" s="218"/>
      <c r="BS9" s="218"/>
    </row>
    <row r="10" ht="14.25" customHeight="1">
      <c r="A10" s="181" t="s">
        <v>153</v>
      </c>
      <c r="B10" s="182">
        <v>773.0</v>
      </c>
      <c r="C10" s="182" t="s">
        <v>154</v>
      </c>
      <c r="D10" s="182">
        <v>53.0</v>
      </c>
      <c r="E10" s="182">
        <v>23.0</v>
      </c>
      <c r="F10" s="182">
        <v>54.0</v>
      </c>
      <c r="G10" s="182">
        <v>62.0</v>
      </c>
      <c r="H10" s="331">
        <v>52.92609</v>
      </c>
      <c r="I10" s="331">
        <v>54.13383</v>
      </c>
      <c r="J10" s="331">
        <v>41.81447</v>
      </c>
      <c r="K10" s="196">
        <v>57.0431</v>
      </c>
      <c r="L10" s="196">
        <v>52.89597</v>
      </c>
      <c r="M10" s="196">
        <v>83.41</v>
      </c>
      <c r="N10" s="196">
        <v>87.68651</v>
      </c>
      <c r="O10" s="196">
        <v>33.95</v>
      </c>
      <c r="P10" s="196">
        <v>28.70683</v>
      </c>
      <c r="Q10" s="196">
        <v>30.89663</v>
      </c>
      <c r="R10" s="196">
        <v>62.1</v>
      </c>
      <c r="S10" s="196">
        <v>59.39</v>
      </c>
      <c r="T10" s="183">
        <v>93165.0</v>
      </c>
      <c r="U10" s="35">
        <v>58548.0</v>
      </c>
      <c r="V10" s="35">
        <v>54574.0</v>
      </c>
      <c r="W10" s="36">
        <f t="shared" si="1"/>
        <v>3974</v>
      </c>
      <c r="X10" s="35">
        <v>25811.0</v>
      </c>
      <c r="Y10" s="35">
        <v>21537.0</v>
      </c>
      <c r="Z10" s="36">
        <f t="shared" si="2"/>
        <v>4274</v>
      </c>
      <c r="AA10" s="35">
        <v>52951.0</v>
      </c>
      <c r="AB10" s="35">
        <v>50230.0</v>
      </c>
      <c r="AC10" s="185">
        <v>2721.0</v>
      </c>
      <c r="AD10" s="226">
        <v>44495.0</v>
      </c>
      <c r="AE10" s="185">
        <v>3173.0</v>
      </c>
      <c r="AF10" s="185">
        <v>5283.0</v>
      </c>
      <c r="AG10" s="35">
        <f t="shared" si="3"/>
        <v>2374</v>
      </c>
      <c r="AH10" s="35">
        <v>1712.0</v>
      </c>
      <c r="AI10" s="35">
        <v>662.0</v>
      </c>
      <c r="AJ10" s="35">
        <v>430.0</v>
      </c>
      <c r="AK10" s="35">
        <v>301.0</v>
      </c>
      <c r="AL10" s="35">
        <v>129.0</v>
      </c>
      <c r="AM10" s="35">
        <v>15299.0</v>
      </c>
      <c r="AN10" s="35">
        <v>14325.0</v>
      </c>
      <c r="AO10" s="35">
        <v>974.0</v>
      </c>
      <c r="AP10" s="332">
        <v>4907.0</v>
      </c>
      <c r="AQ10" s="35">
        <v>3183.0</v>
      </c>
      <c r="AR10" s="35">
        <f t="shared" si="4"/>
        <v>1724</v>
      </c>
      <c r="AS10" s="35">
        <v>257.0</v>
      </c>
      <c r="AT10" s="35">
        <v>48427.0</v>
      </c>
      <c r="AU10" s="35">
        <v>3854.0</v>
      </c>
      <c r="AV10" s="35">
        <v>6267.0</v>
      </c>
      <c r="AW10" s="35">
        <v>23788.0</v>
      </c>
      <c r="AX10" s="35">
        <v>888.0</v>
      </c>
      <c r="AY10" s="35">
        <v>1135.0</v>
      </c>
      <c r="AZ10" s="35">
        <v>369.8615</v>
      </c>
      <c r="BA10" s="35">
        <v>356.9597</v>
      </c>
      <c r="BB10" s="35">
        <v>547.039</v>
      </c>
      <c r="BC10" s="35">
        <v>360.1182</v>
      </c>
      <c r="BD10" s="35">
        <v>629.5585</v>
      </c>
      <c r="BE10" s="35">
        <v>295.686</v>
      </c>
      <c r="BF10" s="35">
        <v>782.4302</v>
      </c>
      <c r="BG10" s="35">
        <v>689.3217</v>
      </c>
      <c r="BH10" s="35">
        <v>155.752</v>
      </c>
      <c r="BI10" s="35">
        <v>142.51</v>
      </c>
      <c r="BJ10" s="35">
        <v>222.4794</v>
      </c>
      <c r="BK10" s="35">
        <v>294.8821</v>
      </c>
      <c r="BL10" s="35">
        <v>286.2395</v>
      </c>
      <c r="BM10" s="35">
        <v>374.4793</v>
      </c>
      <c r="BN10" s="35">
        <v>290.4446</v>
      </c>
      <c r="BO10" s="35">
        <v>408.3311</v>
      </c>
      <c r="BP10" s="35">
        <v>265.9111</v>
      </c>
      <c r="BQ10" s="218"/>
      <c r="BR10" s="218"/>
      <c r="BS10" s="218"/>
    </row>
    <row r="11" ht="14.25" customHeight="1">
      <c r="A11" s="181" t="s">
        <v>155</v>
      </c>
      <c r="B11" s="182">
        <v>927.0</v>
      </c>
      <c r="C11" s="182" t="s">
        <v>156</v>
      </c>
      <c r="D11" s="182">
        <v>28.0</v>
      </c>
      <c r="E11" s="182">
        <v>15.0</v>
      </c>
      <c r="F11" s="182">
        <v>12.0</v>
      </c>
      <c r="G11" s="182">
        <v>27.0</v>
      </c>
      <c r="H11" s="331">
        <v>28.0515</v>
      </c>
      <c r="I11" s="331" t="s">
        <v>231</v>
      </c>
      <c r="J11" s="331">
        <v>28.0515</v>
      </c>
      <c r="K11" s="196">
        <v>33.02346</v>
      </c>
      <c r="L11" s="196">
        <v>32.24556</v>
      </c>
      <c r="M11" s="196">
        <v>33.16</v>
      </c>
      <c r="N11" s="196">
        <v>34.21591</v>
      </c>
      <c r="O11" s="196">
        <v>22.45</v>
      </c>
      <c r="P11" s="196">
        <v>20.46926</v>
      </c>
      <c r="Q11" s="196">
        <v>23.01076</v>
      </c>
      <c r="R11" s="196">
        <v>24.03</v>
      </c>
      <c r="S11" s="196">
        <v>18.08</v>
      </c>
      <c r="T11" s="183">
        <v>233.0</v>
      </c>
      <c r="U11" s="35">
        <v>48.0</v>
      </c>
      <c r="V11" s="218">
        <v>0.0</v>
      </c>
      <c r="W11" s="36">
        <f t="shared" si="1"/>
        <v>48</v>
      </c>
      <c r="X11" s="35">
        <v>136.0</v>
      </c>
      <c r="Y11" s="35">
        <v>0.0</v>
      </c>
      <c r="Z11" s="36">
        <f t="shared" si="2"/>
        <v>136</v>
      </c>
      <c r="AA11" s="35">
        <v>38.0</v>
      </c>
      <c r="AB11" s="35">
        <v>0.0</v>
      </c>
      <c r="AC11" s="185">
        <v>38.0</v>
      </c>
      <c r="AD11" s="226">
        <v>6.0</v>
      </c>
      <c r="AE11" s="185">
        <v>31.0</v>
      </c>
      <c r="AF11" s="185">
        <v>1.0</v>
      </c>
      <c r="AG11" s="35">
        <f t="shared" si="3"/>
        <v>4</v>
      </c>
      <c r="AH11" s="35">
        <v>0.0</v>
      </c>
      <c r="AI11" s="35">
        <v>4.0</v>
      </c>
      <c r="AJ11" s="35">
        <v>2.0</v>
      </c>
      <c r="AK11" s="35">
        <v>0.0</v>
      </c>
      <c r="AL11" s="35">
        <v>2.0</v>
      </c>
      <c r="AM11" s="35">
        <v>40.0</v>
      </c>
      <c r="AN11" s="35">
        <v>0.0</v>
      </c>
      <c r="AO11" s="35">
        <v>40.0</v>
      </c>
      <c r="AP11" s="332">
        <v>67.0</v>
      </c>
      <c r="AQ11" s="35">
        <v>0.0</v>
      </c>
      <c r="AR11" s="35">
        <f t="shared" si="4"/>
        <v>67</v>
      </c>
      <c r="AS11" s="35">
        <v>3.0</v>
      </c>
      <c r="AT11" s="35">
        <v>10.0</v>
      </c>
      <c r="AU11" s="35">
        <v>37.0</v>
      </c>
      <c r="AV11" s="35">
        <v>1.0</v>
      </c>
      <c r="AW11" s="35">
        <v>40.0</v>
      </c>
      <c r="AX11" s="35">
        <v>92.0</v>
      </c>
      <c r="AY11" s="35">
        <v>4.0</v>
      </c>
      <c r="AZ11" s="35">
        <v>1670.896</v>
      </c>
      <c r="BA11" s="35">
        <v>0.0</v>
      </c>
      <c r="BB11" s="35">
        <v>1670.896</v>
      </c>
      <c r="BC11" s="35">
        <v>1820.474</v>
      </c>
      <c r="BD11" s="35">
        <v>839.5</v>
      </c>
      <c r="BE11" s="35">
        <v>592.4</v>
      </c>
      <c r="BF11" s="35">
        <v>1981.865</v>
      </c>
      <c r="BG11" s="35">
        <v>950.0</v>
      </c>
      <c r="BH11" s="35">
        <v>879.5221</v>
      </c>
      <c r="BI11" s="35">
        <v>0.0</v>
      </c>
      <c r="BJ11" s="35">
        <v>879.5221</v>
      </c>
      <c r="BK11" s="35">
        <v>1152.906</v>
      </c>
      <c r="BL11" s="226">
        <v>0.0</v>
      </c>
      <c r="BM11" s="35">
        <v>1152.906</v>
      </c>
      <c r="BN11" s="35">
        <v>1342.474</v>
      </c>
      <c r="BO11" s="35">
        <v>1164.724</v>
      </c>
      <c r="BP11" s="35">
        <v>1257.143</v>
      </c>
      <c r="BQ11" s="218"/>
      <c r="BR11" s="218"/>
      <c r="BS11" s="218"/>
    </row>
    <row r="12" ht="14.25" customHeight="1">
      <c r="A12" s="181" t="s">
        <v>146</v>
      </c>
      <c r="B12" s="182">
        <v>843.0</v>
      </c>
      <c r="C12" s="182" t="s">
        <v>157</v>
      </c>
      <c r="D12" s="182">
        <v>20.0</v>
      </c>
      <c r="E12" s="182">
        <v>18.0</v>
      </c>
      <c r="F12" s="182">
        <v>14.0</v>
      </c>
      <c r="G12" s="182">
        <v>16.0</v>
      </c>
      <c r="H12" s="331">
        <v>23.33605</v>
      </c>
      <c r="I12" s="331">
        <v>23.39884</v>
      </c>
      <c r="J12" s="331">
        <v>22.83997</v>
      </c>
      <c r="K12" s="196">
        <v>23.76563</v>
      </c>
      <c r="L12" s="196">
        <v>23.06882</v>
      </c>
      <c r="M12" s="196">
        <v>32.62</v>
      </c>
      <c r="N12" s="196">
        <v>24.83664</v>
      </c>
      <c r="O12" s="196">
        <v>19.01</v>
      </c>
      <c r="P12" s="196">
        <v>17.35215</v>
      </c>
      <c r="Q12" s="196">
        <v>22.81716</v>
      </c>
      <c r="R12" s="196">
        <v>17.18</v>
      </c>
      <c r="S12" s="196">
        <v>34.07</v>
      </c>
      <c r="T12" s="183">
        <v>56512.0</v>
      </c>
      <c r="U12" s="35">
        <v>8665.0</v>
      </c>
      <c r="V12" s="35">
        <v>7691.0</v>
      </c>
      <c r="W12" s="36">
        <f t="shared" si="1"/>
        <v>974</v>
      </c>
      <c r="X12" s="35">
        <v>42933.0</v>
      </c>
      <c r="Y12" s="35">
        <v>38080.0</v>
      </c>
      <c r="Z12" s="36">
        <f t="shared" si="2"/>
        <v>4853</v>
      </c>
      <c r="AA12" s="35">
        <v>7874.0</v>
      </c>
      <c r="AB12" s="35">
        <v>7230.0</v>
      </c>
      <c r="AC12" s="185">
        <v>644.0</v>
      </c>
      <c r="AD12" s="226">
        <v>4316.0</v>
      </c>
      <c r="AE12" s="185">
        <v>86.0</v>
      </c>
      <c r="AF12" s="185">
        <v>3472.0</v>
      </c>
      <c r="AG12" s="35">
        <f t="shared" si="3"/>
        <v>584</v>
      </c>
      <c r="AH12" s="35">
        <v>320.0</v>
      </c>
      <c r="AI12" s="35">
        <v>264.0</v>
      </c>
      <c r="AJ12" s="35">
        <v>136.0</v>
      </c>
      <c r="AK12" s="35">
        <v>103.0</v>
      </c>
      <c r="AL12" s="35">
        <v>33.0</v>
      </c>
      <c r="AM12" s="35">
        <v>36278.0</v>
      </c>
      <c r="AN12" s="35">
        <v>34156.0</v>
      </c>
      <c r="AO12" s="35">
        <v>2122.0</v>
      </c>
      <c r="AP12" s="332">
        <v>6071.0</v>
      </c>
      <c r="AQ12" s="35">
        <v>3640.0</v>
      </c>
      <c r="AR12" s="35">
        <f t="shared" si="4"/>
        <v>2431</v>
      </c>
      <c r="AS12" s="35">
        <v>233.0</v>
      </c>
      <c r="AT12" s="35">
        <v>4693.0</v>
      </c>
      <c r="AU12" s="35">
        <v>383.0</v>
      </c>
      <c r="AV12" s="35">
        <v>3589.0</v>
      </c>
      <c r="AW12" s="35">
        <v>28069.0</v>
      </c>
      <c r="AX12" s="35">
        <v>1885.0</v>
      </c>
      <c r="AY12" s="35">
        <v>12979.0</v>
      </c>
      <c r="AZ12" s="35">
        <v>191.0569</v>
      </c>
      <c r="BA12" s="35">
        <v>156.4689</v>
      </c>
      <c r="BB12" s="35">
        <v>464.1745</v>
      </c>
      <c r="BC12" s="35">
        <v>162.434</v>
      </c>
      <c r="BD12" s="35">
        <v>533.2397</v>
      </c>
      <c r="BE12" s="35">
        <v>106.9559</v>
      </c>
      <c r="BF12" s="35">
        <v>834.6005</v>
      </c>
      <c r="BG12" s="35">
        <v>232.3522</v>
      </c>
      <c r="BH12" s="35">
        <v>83.22051</v>
      </c>
      <c r="BI12" s="35">
        <v>70.81631</v>
      </c>
      <c r="BJ12" s="35">
        <v>180.5524</v>
      </c>
      <c r="BK12" s="35">
        <v>106.0341</v>
      </c>
      <c r="BL12" s="35">
        <v>88.99854</v>
      </c>
      <c r="BM12" s="35">
        <v>240.75</v>
      </c>
      <c r="BN12" s="35">
        <v>86.31953</v>
      </c>
      <c r="BO12" s="35">
        <v>232.7056</v>
      </c>
      <c r="BP12" s="35">
        <v>178.0552</v>
      </c>
      <c r="BQ12" s="218"/>
      <c r="BR12" s="218"/>
      <c r="BS12" s="218"/>
    </row>
    <row r="13" ht="14.25" customHeight="1">
      <c r="A13" s="181" t="s">
        <v>146</v>
      </c>
      <c r="B13" s="182">
        <v>857.0</v>
      </c>
      <c r="C13" s="182" t="s">
        <v>158</v>
      </c>
      <c r="D13" s="182">
        <v>30.0</v>
      </c>
      <c r="E13" s="182">
        <v>28.0</v>
      </c>
      <c r="F13" s="182">
        <v>20.0</v>
      </c>
      <c r="G13" s="182">
        <v>25.0</v>
      </c>
      <c r="H13" s="331">
        <v>25.12174</v>
      </c>
      <c r="I13" s="331">
        <v>24.20865</v>
      </c>
      <c r="J13" s="331">
        <v>30.47761</v>
      </c>
      <c r="K13" s="196">
        <v>25.33288</v>
      </c>
      <c r="L13" s="196">
        <v>25.63869</v>
      </c>
      <c r="M13" s="196">
        <v>38.37</v>
      </c>
      <c r="N13" s="196">
        <v>23.36041</v>
      </c>
      <c r="O13" s="196">
        <v>22.62</v>
      </c>
      <c r="P13" s="196">
        <v>21.27492</v>
      </c>
      <c r="Q13" s="196">
        <v>23.93712</v>
      </c>
      <c r="R13" s="196">
        <v>21.5</v>
      </c>
      <c r="S13" s="196">
        <v>32.56</v>
      </c>
      <c r="T13" s="183">
        <v>460.0</v>
      </c>
      <c r="U13" s="35">
        <v>63.0</v>
      </c>
      <c r="V13" s="35">
        <v>44.0</v>
      </c>
      <c r="W13" s="36">
        <f t="shared" si="1"/>
        <v>19</v>
      </c>
      <c r="X13" s="35">
        <v>353.0</v>
      </c>
      <c r="Y13" s="35">
        <v>313.0</v>
      </c>
      <c r="Z13" s="36">
        <f t="shared" si="2"/>
        <v>40</v>
      </c>
      <c r="AA13" s="35">
        <v>53.0</v>
      </c>
      <c r="AB13" s="35">
        <v>39.0</v>
      </c>
      <c r="AC13" s="185">
        <v>14.0</v>
      </c>
      <c r="AD13" s="226">
        <v>44.0</v>
      </c>
      <c r="AE13" s="185">
        <v>1.0</v>
      </c>
      <c r="AF13" s="185">
        <v>8.0</v>
      </c>
      <c r="AG13" s="35">
        <f t="shared" si="3"/>
        <v>7</v>
      </c>
      <c r="AH13" s="35">
        <v>4.0</v>
      </c>
      <c r="AI13" s="35">
        <v>3.0</v>
      </c>
      <c r="AJ13" s="35">
        <v>3.0</v>
      </c>
      <c r="AK13" s="35">
        <v>1.0</v>
      </c>
      <c r="AL13" s="35">
        <v>2.0</v>
      </c>
      <c r="AM13" s="35">
        <v>295.0</v>
      </c>
      <c r="AN13" s="35">
        <v>271.0</v>
      </c>
      <c r="AO13" s="35">
        <v>24.0</v>
      </c>
      <c r="AP13" s="332">
        <v>52.0</v>
      </c>
      <c r="AQ13" s="35">
        <v>38.0</v>
      </c>
      <c r="AR13" s="35">
        <f t="shared" si="4"/>
        <v>14</v>
      </c>
      <c r="AS13" s="35">
        <v>1.0</v>
      </c>
      <c r="AT13" s="35">
        <v>47.0</v>
      </c>
      <c r="AU13" s="35">
        <v>7.0</v>
      </c>
      <c r="AV13" s="35">
        <v>9.0</v>
      </c>
      <c r="AW13" s="35">
        <v>276.0</v>
      </c>
      <c r="AX13" s="35">
        <v>28.0</v>
      </c>
      <c r="AY13" s="35">
        <v>49.0</v>
      </c>
      <c r="AZ13" s="35">
        <v>843.0317</v>
      </c>
      <c r="BA13" s="35">
        <v>576.2955</v>
      </c>
      <c r="BB13" s="35">
        <v>1460.737</v>
      </c>
      <c r="BC13" s="35">
        <v>815.7925</v>
      </c>
      <c r="BD13" s="35">
        <v>1020.571</v>
      </c>
      <c r="BE13" s="35">
        <v>756.1489</v>
      </c>
      <c r="BF13" s="35">
        <v>1007.571</v>
      </c>
      <c r="BG13" s="35">
        <v>1168.778</v>
      </c>
      <c r="BH13" s="35">
        <v>182.1303</v>
      </c>
      <c r="BI13" s="35">
        <v>160.9617</v>
      </c>
      <c r="BJ13" s="35">
        <v>347.775</v>
      </c>
      <c r="BK13" s="35">
        <v>289.9087</v>
      </c>
      <c r="BL13" s="35">
        <v>217.8193</v>
      </c>
      <c r="BM13" s="35">
        <v>712.7612</v>
      </c>
      <c r="BN13" s="35">
        <v>230.0522</v>
      </c>
      <c r="BO13" s="35">
        <v>559.0952</v>
      </c>
      <c r="BP13" s="35">
        <v>888.625</v>
      </c>
      <c r="BQ13" s="218"/>
      <c r="BR13" s="218"/>
      <c r="BS13" s="218"/>
    </row>
    <row r="14" ht="14.25" customHeight="1">
      <c r="A14" s="181" t="s">
        <v>159</v>
      </c>
      <c r="B14" s="182">
        <v>899.0</v>
      </c>
      <c r="C14" s="182" t="s">
        <v>160</v>
      </c>
      <c r="D14" s="182">
        <v>33.0</v>
      </c>
      <c r="E14" s="182">
        <v>32.0</v>
      </c>
      <c r="F14" s="182">
        <v>27.0</v>
      </c>
      <c r="G14" s="182">
        <v>21.0</v>
      </c>
      <c r="H14" s="331">
        <v>30.49422</v>
      </c>
      <c r="I14" s="331">
        <v>27.34071</v>
      </c>
      <c r="J14" s="331">
        <v>30.62637</v>
      </c>
      <c r="K14" s="196">
        <v>36.75493</v>
      </c>
      <c r="L14" s="196">
        <v>42.7724</v>
      </c>
      <c r="M14" s="196">
        <v>28.05</v>
      </c>
      <c r="N14" s="196">
        <v>27.37606</v>
      </c>
      <c r="O14" s="196">
        <v>23.59</v>
      </c>
      <c r="P14" s="196">
        <v>22.15006</v>
      </c>
      <c r="Q14" s="196">
        <v>26.42037</v>
      </c>
      <c r="R14" s="196">
        <v>21.5</v>
      </c>
      <c r="S14" s="196">
        <v>30.18</v>
      </c>
      <c r="T14" s="183">
        <v>5619.0</v>
      </c>
      <c r="U14" s="35">
        <v>1763.0</v>
      </c>
      <c r="V14" s="35">
        <v>55.0</v>
      </c>
      <c r="W14" s="36">
        <f t="shared" si="1"/>
        <v>1708</v>
      </c>
      <c r="X14" s="35">
        <v>2966.0</v>
      </c>
      <c r="Y14" s="35">
        <v>140.0</v>
      </c>
      <c r="Z14" s="36">
        <f t="shared" si="2"/>
        <v>2826</v>
      </c>
      <c r="AA14" s="35">
        <v>1334.0</v>
      </c>
      <c r="AB14" s="35">
        <v>50.0</v>
      </c>
      <c r="AC14" s="185">
        <v>1284.0</v>
      </c>
      <c r="AD14" s="226">
        <v>1219.0</v>
      </c>
      <c r="AE14" s="185">
        <v>40.0</v>
      </c>
      <c r="AF14" s="185">
        <v>75.0</v>
      </c>
      <c r="AG14" s="35">
        <f t="shared" si="3"/>
        <v>322</v>
      </c>
      <c r="AH14" s="35">
        <v>5.0</v>
      </c>
      <c r="AI14" s="35">
        <v>317.0</v>
      </c>
      <c r="AJ14" s="35">
        <v>87.0</v>
      </c>
      <c r="AK14" s="35">
        <v>60.0</v>
      </c>
      <c r="AL14" s="35">
        <v>27.0</v>
      </c>
      <c r="AM14" s="35">
        <v>870.0</v>
      </c>
      <c r="AN14" s="35">
        <v>71.0</v>
      </c>
      <c r="AO14" s="35">
        <v>799.0</v>
      </c>
      <c r="AP14" s="332">
        <v>1965.0</v>
      </c>
      <c r="AQ14" s="35">
        <v>67.0</v>
      </c>
      <c r="AR14" s="35">
        <f t="shared" si="4"/>
        <v>1898</v>
      </c>
      <c r="AS14" s="35">
        <v>115.0</v>
      </c>
      <c r="AT14" s="35">
        <v>1455.0</v>
      </c>
      <c r="AU14" s="35">
        <v>209.0</v>
      </c>
      <c r="AV14" s="35">
        <v>99.0</v>
      </c>
      <c r="AW14" s="35">
        <v>1513.0</v>
      </c>
      <c r="AX14" s="35">
        <v>1007.0</v>
      </c>
      <c r="AY14" s="35">
        <v>446.0</v>
      </c>
      <c r="AZ14" s="35">
        <v>871.4861</v>
      </c>
      <c r="BA14" s="35">
        <v>525.0545</v>
      </c>
      <c r="BB14" s="35">
        <v>882.6417</v>
      </c>
      <c r="BC14" s="35">
        <v>818.1919</v>
      </c>
      <c r="BD14" s="35">
        <v>942.2174</v>
      </c>
      <c r="BE14" s="35">
        <v>600.6825</v>
      </c>
      <c r="BF14" s="35">
        <v>2131.971</v>
      </c>
      <c r="BG14" s="35">
        <v>2190.455</v>
      </c>
      <c r="BH14" s="35">
        <v>645.2043</v>
      </c>
      <c r="BI14" s="35">
        <v>393.5143</v>
      </c>
      <c r="BJ14" s="35">
        <v>657.673</v>
      </c>
      <c r="BK14" s="35">
        <v>813.687</v>
      </c>
      <c r="BL14" s="35">
        <v>460.3274</v>
      </c>
      <c r="BM14" s="35">
        <v>828.4949</v>
      </c>
      <c r="BN14" s="35">
        <v>985.1865</v>
      </c>
      <c r="BO14" s="35">
        <v>622.4222</v>
      </c>
      <c r="BP14" s="35">
        <v>610.9676</v>
      </c>
      <c r="BQ14" s="218"/>
      <c r="BR14" s="218"/>
      <c r="BS14" s="218"/>
    </row>
    <row r="15" ht="14.25" customHeight="1">
      <c r="A15" s="181" t="s">
        <v>146</v>
      </c>
      <c r="B15" s="182">
        <v>795.0</v>
      </c>
      <c r="C15" s="182" t="s">
        <v>161</v>
      </c>
      <c r="D15" s="182">
        <v>26.0</v>
      </c>
      <c r="E15" s="182">
        <v>15.0</v>
      </c>
      <c r="F15" s="182">
        <v>9.0</v>
      </c>
      <c r="G15" s="182">
        <v>18.0</v>
      </c>
      <c r="H15" s="331">
        <v>18.26225</v>
      </c>
      <c r="I15" s="331">
        <v>17.33418</v>
      </c>
      <c r="J15" s="331">
        <v>21.64615</v>
      </c>
      <c r="K15" s="196">
        <v>12.87548</v>
      </c>
      <c r="L15" s="196">
        <v>12.62906</v>
      </c>
      <c r="M15" s="196">
        <v>0.0</v>
      </c>
      <c r="N15" s="196">
        <v>14.86344</v>
      </c>
      <c r="O15" s="196">
        <v>22.28</v>
      </c>
      <c r="P15" s="196">
        <v>24.53478</v>
      </c>
      <c r="Q15" s="196">
        <v>15.99757</v>
      </c>
      <c r="R15" s="196">
        <v>13.8</v>
      </c>
      <c r="S15" s="196">
        <v>19.11</v>
      </c>
      <c r="T15" s="183">
        <v>1510.0</v>
      </c>
      <c r="U15" s="35">
        <v>119.0</v>
      </c>
      <c r="V15" s="35">
        <v>73.0</v>
      </c>
      <c r="W15" s="36">
        <f t="shared" si="1"/>
        <v>46</v>
      </c>
      <c r="X15" s="35">
        <v>1295.0</v>
      </c>
      <c r="Y15" s="35">
        <v>1042.0</v>
      </c>
      <c r="Z15" s="36">
        <f t="shared" si="2"/>
        <v>253</v>
      </c>
      <c r="AA15" s="35">
        <v>7.0</v>
      </c>
      <c r="AB15" s="35">
        <v>5.0</v>
      </c>
      <c r="AC15" s="185">
        <v>2.0</v>
      </c>
      <c r="AD15" s="226">
        <v>3.0</v>
      </c>
      <c r="AE15" s="185">
        <v>0.0</v>
      </c>
      <c r="AF15" s="185">
        <v>4.0</v>
      </c>
      <c r="AG15" s="35">
        <f t="shared" si="3"/>
        <v>19</v>
      </c>
      <c r="AH15" s="35">
        <v>8.0</v>
      </c>
      <c r="AI15" s="35">
        <v>11.0</v>
      </c>
      <c r="AJ15" s="35">
        <v>92.0</v>
      </c>
      <c r="AK15" s="35">
        <v>0.0</v>
      </c>
      <c r="AL15" s="35">
        <v>92.0</v>
      </c>
      <c r="AM15" s="35">
        <v>786.0</v>
      </c>
      <c r="AN15" s="35">
        <v>676.0</v>
      </c>
      <c r="AO15" s="35">
        <v>110.0</v>
      </c>
      <c r="AP15" s="332">
        <v>111.0</v>
      </c>
      <c r="AQ15" s="35">
        <v>63.0</v>
      </c>
      <c r="AR15" s="35">
        <f t="shared" si="4"/>
        <v>48</v>
      </c>
      <c r="AS15" s="35">
        <v>393.0</v>
      </c>
      <c r="AT15" s="35">
        <v>85.0</v>
      </c>
      <c r="AU15" s="35">
        <v>29.0</v>
      </c>
      <c r="AV15" s="35">
        <v>5.0</v>
      </c>
      <c r="AW15" s="35">
        <v>840.0</v>
      </c>
      <c r="AX15" s="35">
        <v>131.0</v>
      </c>
      <c r="AY15" s="35">
        <v>324.0</v>
      </c>
      <c r="AZ15" s="35">
        <v>468.3277</v>
      </c>
      <c r="BA15" s="35">
        <v>384.7945</v>
      </c>
      <c r="BB15" s="35">
        <v>600.8913</v>
      </c>
      <c r="BC15" s="35">
        <v>150.5714</v>
      </c>
      <c r="BD15" s="35">
        <v>331.6316</v>
      </c>
      <c r="BE15" s="35">
        <v>268.6353</v>
      </c>
      <c r="BF15" s="35">
        <v>1099.517</v>
      </c>
      <c r="BG15" s="35">
        <v>202.2</v>
      </c>
      <c r="BH15" s="35">
        <v>148.0471</v>
      </c>
      <c r="BI15" s="35">
        <v>123.0154</v>
      </c>
      <c r="BJ15" s="35">
        <v>251.1423</v>
      </c>
      <c r="BK15" s="35">
        <v>201.9748</v>
      </c>
      <c r="BL15" s="35">
        <v>160.1376</v>
      </c>
      <c r="BM15" s="35">
        <v>354.52</v>
      </c>
      <c r="BN15" s="35">
        <v>46.40768</v>
      </c>
      <c r="BO15" s="35">
        <v>281.3885</v>
      </c>
      <c r="BP15" s="35">
        <v>400.246</v>
      </c>
      <c r="BQ15" s="218"/>
      <c r="BR15" s="218"/>
      <c r="BS15" s="218"/>
    </row>
    <row r="16" ht="14.25" customHeight="1">
      <c r="A16" s="181" t="s">
        <v>155</v>
      </c>
      <c r="B16" s="182">
        <v>903.0</v>
      </c>
      <c r="C16" s="182" t="s">
        <v>162</v>
      </c>
      <c r="D16" s="182">
        <v>30.0</v>
      </c>
      <c r="E16" s="182">
        <v>24.0</v>
      </c>
      <c r="F16" s="182">
        <v>29.0</v>
      </c>
      <c r="G16" s="182">
        <v>28.0</v>
      </c>
      <c r="H16" s="331">
        <v>28.34021</v>
      </c>
      <c r="I16" s="331">
        <v>26.71119</v>
      </c>
      <c r="J16" s="331">
        <v>33.78609</v>
      </c>
      <c r="K16" s="196">
        <v>26.34358</v>
      </c>
      <c r="L16" s="196">
        <v>25.90062</v>
      </c>
      <c r="M16" s="196">
        <v>0.0</v>
      </c>
      <c r="N16" s="196">
        <v>35.05493</v>
      </c>
      <c r="O16" s="196">
        <v>28.03</v>
      </c>
      <c r="P16" s="196">
        <v>27.57133</v>
      </c>
      <c r="Q16" s="196">
        <v>33.49978</v>
      </c>
      <c r="R16" s="196">
        <v>24.04</v>
      </c>
      <c r="S16" s="196">
        <v>37.91</v>
      </c>
      <c r="T16" s="183">
        <v>53851.0</v>
      </c>
      <c r="U16" s="35">
        <v>12158.0</v>
      </c>
      <c r="V16" s="35">
        <v>7332.0</v>
      </c>
      <c r="W16" s="36">
        <f t="shared" si="1"/>
        <v>4826</v>
      </c>
      <c r="X16" s="35">
        <v>34042.0</v>
      </c>
      <c r="Y16" s="35">
        <v>28207.0</v>
      </c>
      <c r="Z16" s="36">
        <f t="shared" si="2"/>
        <v>5835</v>
      </c>
      <c r="AA16" s="35">
        <v>5011.0</v>
      </c>
      <c r="AB16" s="35">
        <v>3812.0</v>
      </c>
      <c r="AC16" s="185">
        <v>1199.0</v>
      </c>
      <c r="AD16" s="226">
        <v>4380.0</v>
      </c>
      <c r="AE16" s="185">
        <v>0.0</v>
      </c>
      <c r="AF16" s="185">
        <v>631.0</v>
      </c>
      <c r="AG16" s="35">
        <f t="shared" si="3"/>
        <v>3731</v>
      </c>
      <c r="AH16" s="35">
        <v>1180.0</v>
      </c>
      <c r="AI16" s="35">
        <v>2551.0</v>
      </c>
      <c r="AJ16" s="35">
        <v>2922.0</v>
      </c>
      <c r="AK16" s="35">
        <v>1892.0</v>
      </c>
      <c r="AL16" s="35">
        <v>1030.0</v>
      </c>
      <c r="AM16" s="35">
        <v>23372.0</v>
      </c>
      <c r="AN16" s="35">
        <v>22307.0</v>
      </c>
      <c r="AO16" s="35">
        <v>1065.0</v>
      </c>
      <c r="AP16" s="332">
        <v>8489.0</v>
      </c>
      <c r="AQ16" s="35">
        <v>4128.0</v>
      </c>
      <c r="AR16" s="35">
        <f t="shared" si="4"/>
        <v>4361</v>
      </c>
      <c r="AS16" s="35">
        <v>1707.0</v>
      </c>
      <c r="AT16" s="35">
        <v>6866.0</v>
      </c>
      <c r="AU16" s="35">
        <v>1120.0</v>
      </c>
      <c r="AV16" s="35">
        <v>4172.0</v>
      </c>
      <c r="AW16" s="35">
        <v>27669.0</v>
      </c>
      <c r="AX16" s="35">
        <v>1552.0</v>
      </c>
      <c r="AY16" s="35">
        <v>4821.0</v>
      </c>
      <c r="AZ16" s="35">
        <v>422.7486</v>
      </c>
      <c r="BA16" s="35">
        <v>325.3897</v>
      </c>
      <c r="BB16" s="35">
        <v>570.6633</v>
      </c>
      <c r="BC16" s="35">
        <v>324.744</v>
      </c>
      <c r="BD16" s="35">
        <v>571.9561</v>
      </c>
      <c r="BE16" s="35">
        <v>391.3105</v>
      </c>
      <c r="BF16" s="35">
        <v>803.7634</v>
      </c>
      <c r="BG16" s="35">
        <v>372.2016</v>
      </c>
      <c r="BH16" s="35">
        <v>123.1091</v>
      </c>
      <c r="BI16" s="35">
        <v>112.1522</v>
      </c>
      <c r="BJ16" s="35">
        <v>176.0761</v>
      </c>
      <c r="BK16" s="35">
        <v>214.3373</v>
      </c>
      <c r="BL16" s="35">
        <v>170.9724</v>
      </c>
      <c r="BM16" s="35">
        <v>359.1162</v>
      </c>
      <c r="BN16" s="35">
        <v>159.3194</v>
      </c>
      <c r="BO16" s="35">
        <v>306.4952</v>
      </c>
      <c r="BP16" s="35">
        <v>324.5841</v>
      </c>
      <c r="BQ16" s="218"/>
      <c r="BR16" s="218"/>
      <c r="BS16" s="218"/>
    </row>
    <row r="17" ht="14.25" customHeight="1">
      <c r="A17" s="181" t="s">
        <v>155</v>
      </c>
      <c r="B17" s="182">
        <v>865.0</v>
      </c>
      <c r="C17" s="182" t="s">
        <v>163</v>
      </c>
      <c r="D17" s="182">
        <v>25.0</v>
      </c>
      <c r="E17" s="182">
        <v>19.0</v>
      </c>
      <c r="F17" s="182">
        <v>12.0</v>
      </c>
      <c r="G17" s="182">
        <v>14.0</v>
      </c>
      <c r="H17" s="331">
        <v>26.63321</v>
      </c>
      <c r="I17" s="331">
        <v>26.74704</v>
      </c>
      <c r="J17" s="331">
        <v>26.27882</v>
      </c>
      <c r="K17" s="196">
        <v>28.64839</v>
      </c>
      <c r="L17" s="196">
        <v>31.3683</v>
      </c>
      <c r="M17" s="196">
        <v>26.57</v>
      </c>
      <c r="N17" s="196">
        <v>24.56971</v>
      </c>
      <c r="O17" s="196">
        <v>23.9</v>
      </c>
      <c r="P17" s="196">
        <v>20.14812</v>
      </c>
      <c r="Q17" s="196">
        <v>26.32477</v>
      </c>
      <c r="R17" s="196">
        <v>20.93</v>
      </c>
      <c r="S17" s="196">
        <v>14.48</v>
      </c>
      <c r="T17" s="183">
        <v>23726.0</v>
      </c>
      <c r="U17" s="35">
        <v>4856.0</v>
      </c>
      <c r="V17" s="35">
        <v>3679.0</v>
      </c>
      <c r="W17" s="36">
        <f t="shared" si="1"/>
        <v>1177</v>
      </c>
      <c r="X17" s="35">
        <v>16133.0</v>
      </c>
      <c r="Y17" s="35">
        <v>12328.0</v>
      </c>
      <c r="Z17" s="36">
        <f t="shared" si="2"/>
        <v>3805</v>
      </c>
      <c r="AA17" s="35">
        <v>3500.0</v>
      </c>
      <c r="AB17" s="35">
        <v>2925.0</v>
      </c>
      <c r="AC17" s="185">
        <v>575.0</v>
      </c>
      <c r="AD17" s="226">
        <v>2535.0</v>
      </c>
      <c r="AE17" s="185">
        <v>0.0</v>
      </c>
      <c r="AF17" s="185">
        <v>965.0</v>
      </c>
      <c r="AG17" s="35">
        <f t="shared" si="3"/>
        <v>1283</v>
      </c>
      <c r="AH17" s="35">
        <v>711.0</v>
      </c>
      <c r="AI17" s="35">
        <v>572.0</v>
      </c>
      <c r="AJ17" s="35">
        <v>3.0</v>
      </c>
      <c r="AK17" s="35">
        <v>0.0</v>
      </c>
      <c r="AL17" s="35">
        <v>3.0</v>
      </c>
      <c r="AM17" s="35">
        <v>9128.0</v>
      </c>
      <c r="AN17" s="35">
        <v>8498.0</v>
      </c>
      <c r="AO17" s="35">
        <v>630.0</v>
      </c>
      <c r="AP17" s="332">
        <v>6173.0</v>
      </c>
      <c r="AQ17" s="35">
        <v>3360.0</v>
      </c>
      <c r="AR17" s="35">
        <f t="shared" si="4"/>
        <v>2813</v>
      </c>
      <c r="AS17" s="35">
        <v>11.0</v>
      </c>
      <c r="AT17" s="35">
        <v>2900.0</v>
      </c>
      <c r="AU17" s="35">
        <v>979.0</v>
      </c>
      <c r="AV17" s="35">
        <v>977.0</v>
      </c>
      <c r="AW17" s="35">
        <v>8140.0</v>
      </c>
      <c r="AX17" s="35">
        <v>3519.0</v>
      </c>
      <c r="AY17" s="35">
        <v>4474.0</v>
      </c>
      <c r="AZ17" s="35">
        <v>352.374</v>
      </c>
      <c r="BA17" s="35">
        <v>288.7825</v>
      </c>
      <c r="BB17" s="35">
        <v>551.1444</v>
      </c>
      <c r="BC17" s="35">
        <v>261.9911</v>
      </c>
      <c r="BD17" s="35">
        <v>598.0998</v>
      </c>
      <c r="BE17" s="35">
        <v>220.6576</v>
      </c>
      <c r="BF17" s="35">
        <v>675.2094</v>
      </c>
      <c r="BG17" s="35">
        <v>419.8475</v>
      </c>
      <c r="BH17" s="35">
        <v>209.3071</v>
      </c>
      <c r="BI17" s="35">
        <v>168.3623</v>
      </c>
      <c r="BJ17" s="35">
        <v>341.9661</v>
      </c>
      <c r="BK17" s="35">
        <v>254.3909</v>
      </c>
      <c r="BL17" s="35">
        <v>203.8816</v>
      </c>
      <c r="BM17" s="35">
        <v>413.4627</v>
      </c>
      <c r="BN17" s="35">
        <v>176.1627</v>
      </c>
      <c r="BO17" s="35">
        <v>399.6934</v>
      </c>
      <c r="BP17" s="35">
        <v>571.625</v>
      </c>
      <c r="BQ17" s="218"/>
      <c r="BR17" s="218"/>
      <c r="BS17" s="218"/>
    </row>
    <row r="18" ht="14.25" customHeight="1">
      <c r="A18" s="181" t="s">
        <v>159</v>
      </c>
      <c r="B18" s="182">
        <v>869.0</v>
      </c>
      <c r="C18" s="182" t="s">
        <v>164</v>
      </c>
      <c r="D18" s="182">
        <v>15.0</v>
      </c>
      <c r="E18" s="182">
        <v>8.0</v>
      </c>
      <c r="F18" s="182">
        <v>6.0</v>
      </c>
      <c r="G18" s="182">
        <v>10.0</v>
      </c>
      <c r="H18" s="331">
        <v>14.49031</v>
      </c>
      <c r="I18" s="331">
        <v>14.34932</v>
      </c>
      <c r="J18" s="331">
        <v>17.31659</v>
      </c>
      <c r="K18" s="196">
        <v>14.56768</v>
      </c>
      <c r="L18" s="196">
        <v>16.57816</v>
      </c>
      <c r="M18" s="196">
        <v>13.81</v>
      </c>
      <c r="N18" s="196">
        <v>10.11022</v>
      </c>
      <c r="O18" s="196">
        <v>13.27</v>
      </c>
      <c r="P18" s="196">
        <v>10.31477</v>
      </c>
      <c r="Q18" s="196">
        <v>15.98013</v>
      </c>
      <c r="R18" s="196">
        <v>12.56</v>
      </c>
      <c r="S18" s="196">
        <v>0.0</v>
      </c>
      <c r="T18" s="183">
        <v>18028.0</v>
      </c>
      <c r="U18" s="35">
        <v>891.0</v>
      </c>
      <c r="V18" s="35">
        <v>845.0</v>
      </c>
      <c r="W18" s="36">
        <f t="shared" si="1"/>
        <v>46</v>
      </c>
      <c r="X18" s="35">
        <v>16545.0</v>
      </c>
      <c r="Y18" s="35">
        <v>15777.0</v>
      </c>
      <c r="Z18" s="36">
        <f t="shared" si="2"/>
        <v>768</v>
      </c>
      <c r="AA18" s="35">
        <v>843.0</v>
      </c>
      <c r="AB18" s="35">
        <v>810.0</v>
      </c>
      <c r="AC18" s="185">
        <v>33.0</v>
      </c>
      <c r="AD18" s="226">
        <v>803.0</v>
      </c>
      <c r="AE18" s="185">
        <v>0.0</v>
      </c>
      <c r="AF18" s="185">
        <v>40.0</v>
      </c>
      <c r="AG18" s="35">
        <f t="shared" si="3"/>
        <v>48</v>
      </c>
      <c r="AH18" s="35">
        <v>35.0</v>
      </c>
      <c r="AI18" s="35">
        <v>13.0</v>
      </c>
      <c r="AJ18" s="35">
        <v>0.0</v>
      </c>
      <c r="AK18" s="35">
        <v>0.0</v>
      </c>
      <c r="AL18" s="35">
        <v>0.0</v>
      </c>
      <c r="AM18" s="35">
        <v>13962.0</v>
      </c>
      <c r="AN18" s="35">
        <v>13604.0</v>
      </c>
      <c r="AO18" s="35">
        <v>358.0</v>
      </c>
      <c r="AP18" s="332">
        <v>2532.0</v>
      </c>
      <c r="AQ18" s="35">
        <v>2135.0</v>
      </c>
      <c r="AR18" s="35">
        <f t="shared" si="4"/>
        <v>397</v>
      </c>
      <c r="AS18" s="35">
        <v>0.0</v>
      </c>
      <c r="AT18" s="35">
        <v>814.0</v>
      </c>
      <c r="AU18" s="35">
        <v>36.0</v>
      </c>
      <c r="AV18" s="35">
        <v>41.0</v>
      </c>
      <c r="AW18" s="35">
        <v>10508.0</v>
      </c>
      <c r="AX18" s="35">
        <v>1313.0</v>
      </c>
      <c r="AY18" s="35">
        <v>4724.0</v>
      </c>
      <c r="AZ18" s="35">
        <v>142.5713</v>
      </c>
      <c r="BA18" s="35">
        <v>121.697</v>
      </c>
      <c r="BB18" s="35">
        <v>526.0217</v>
      </c>
      <c r="BC18" s="35">
        <v>97.06643</v>
      </c>
      <c r="BD18" s="35">
        <v>941.75</v>
      </c>
      <c r="BE18" s="35">
        <v>86.15356</v>
      </c>
      <c r="BF18" s="35">
        <v>1161.167</v>
      </c>
      <c r="BG18" s="35">
        <v>368.2927</v>
      </c>
      <c r="BH18" s="35">
        <v>73.0964</v>
      </c>
      <c r="BI18" s="35">
        <v>65.63732</v>
      </c>
      <c r="BJ18" s="35">
        <v>226.3281</v>
      </c>
      <c r="BK18" s="35">
        <v>79.71056</v>
      </c>
      <c r="BL18" s="35">
        <v>70.43789</v>
      </c>
      <c r="BM18" s="35">
        <v>265.4994</v>
      </c>
      <c r="BN18" s="35">
        <v>57.09945</v>
      </c>
      <c r="BO18" s="35">
        <v>202.647</v>
      </c>
      <c r="BP18" s="226">
        <v>0.0</v>
      </c>
      <c r="BQ18" s="218"/>
      <c r="BR18" s="218"/>
      <c r="BS18" s="218"/>
    </row>
    <row r="19" ht="14.25" customHeight="1">
      <c r="A19" s="181" t="s">
        <v>159</v>
      </c>
      <c r="B19" s="182">
        <v>834.0</v>
      </c>
      <c r="C19" s="182" t="s">
        <v>165</v>
      </c>
      <c r="D19" s="182">
        <v>14.0</v>
      </c>
      <c r="E19" s="182">
        <v>9.0</v>
      </c>
      <c r="F19" s="182">
        <v>12.0</v>
      </c>
      <c r="G19" s="182">
        <v>27.0</v>
      </c>
      <c r="H19" s="331">
        <v>15.15076</v>
      </c>
      <c r="I19" s="331">
        <v>15.26973</v>
      </c>
      <c r="J19" s="331">
        <v>14.20727</v>
      </c>
      <c r="K19" s="196">
        <v>14.79647</v>
      </c>
      <c r="L19" s="196">
        <v>14.23735</v>
      </c>
      <c r="M19" s="196">
        <v>19.11</v>
      </c>
      <c r="N19" s="196">
        <v>18.71161</v>
      </c>
      <c r="O19" s="196">
        <v>16.02</v>
      </c>
      <c r="P19" s="196">
        <v>14.23263</v>
      </c>
      <c r="Q19" s="196">
        <v>19.63796</v>
      </c>
      <c r="R19" s="196">
        <v>21.46</v>
      </c>
      <c r="S19" s="196">
        <v>0.0</v>
      </c>
      <c r="T19" s="183">
        <v>28805.0</v>
      </c>
      <c r="U19" s="35">
        <v>2074.0</v>
      </c>
      <c r="V19" s="35">
        <v>1838.0</v>
      </c>
      <c r="W19" s="36">
        <f t="shared" si="1"/>
        <v>236</v>
      </c>
      <c r="X19" s="35">
        <v>25764.0</v>
      </c>
      <c r="Y19" s="35">
        <v>22835.0</v>
      </c>
      <c r="Z19" s="36">
        <f t="shared" si="2"/>
        <v>2929</v>
      </c>
      <c r="AA19" s="35">
        <v>1786.0</v>
      </c>
      <c r="AB19" s="35">
        <v>1634.0</v>
      </c>
      <c r="AC19" s="185">
        <v>152.0</v>
      </c>
      <c r="AD19" s="226">
        <v>1482.0</v>
      </c>
      <c r="AE19" s="185">
        <v>190.0</v>
      </c>
      <c r="AF19" s="185">
        <v>114.0</v>
      </c>
      <c r="AG19" s="35">
        <f t="shared" si="3"/>
        <v>272</v>
      </c>
      <c r="AH19" s="35">
        <v>190.0</v>
      </c>
      <c r="AI19" s="35">
        <v>82.0</v>
      </c>
      <c r="AJ19" s="35">
        <v>0.0</v>
      </c>
      <c r="AK19" s="35">
        <v>0.0</v>
      </c>
      <c r="AL19" s="35">
        <v>0.0</v>
      </c>
      <c r="AM19" s="35">
        <v>20545.0</v>
      </c>
      <c r="AN19" s="35">
        <v>18992.0</v>
      </c>
      <c r="AO19" s="35">
        <v>1553.0</v>
      </c>
      <c r="AP19" s="332">
        <v>5084.0</v>
      </c>
      <c r="AQ19" s="35">
        <v>3742.0</v>
      </c>
      <c r="AR19" s="35">
        <f t="shared" si="4"/>
        <v>1342</v>
      </c>
      <c r="AS19" s="35">
        <v>1.0</v>
      </c>
      <c r="AT19" s="35">
        <v>1626.0</v>
      </c>
      <c r="AU19" s="35">
        <v>328.0</v>
      </c>
      <c r="AV19" s="35">
        <v>120.0</v>
      </c>
      <c r="AW19" s="35">
        <v>21937.0</v>
      </c>
      <c r="AX19" s="35">
        <v>2882.0</v>
      </c>
      <c r="AY19" s="35">
        <v>945.0</v>
      </c>
      <c r="AZ19" s="35">
        <v>172.8163</v>
      </c>
      <c r="BA19" s="35">
        <v>134.3547</v>
      </c>
      <c r="BB19" s="35">
        <v>472.3602</v>
      </c>
      <c r="BC19" s="35">
        <v>114.224</v>
      </c>
      <c r="BD19" s="35">
        <v>515.5294</v>
      </c>
      <c r="BE19" s="35">
        <v>61.37454</v>
      </c>
      <c r="BF19" s="35">
        <v>535.0823</v>
      </c>
      <c r="BG19" s="35">
        <v>692.6583</v>
      </c>
      <c r="BH19" s="35">
        <v>82.9105</v>
      </c>
      <c r="BI19" s="35">
        <v>70.28802</v>
      </c>
      <c r="BJ19" s="35">
        <v>181.3175</v>
      </c>
      <c r="BK19" s="35">
        <v>94.38098</v>
      </c>
      <c r="BL19" s="35">
        <v>78.66198</v>
      </c>
      <c r="BM19" s="35">
        <v>217.9806</v>
      </c>
      <c r="BN19" s="35">
        <v>62.17619</v>
      </c>
      <c r="BO19" s="35">
        <v>223.4949</v>
      </c>
      <c r="BP19" s="35">
        <v>209.0</v>
      </c>
      <c r="BQ19" s="218"/>
      <c r="BR19" s="218"/>
      <c r="BS19" s="218"/>
    </row>
    <row r="20" ht="14.25" customHeight="1">
      <c r="A20" s="181" t="s">
        <v>153</v>
      </c>
      <c r="B20" s="182">
        <v>841.0</v>
      </c>
      <c r="C20" s="182" t="s">
        <v>166</v>
      </c>
      <c r="D20" s="182">
        <v>29.0</v>
      </c>
      <c r="E20" s="182">
        <v>25.0</v>
      </c>
      <c r="F20" s="182">
        <v>34.0</v>
      </c>
      <c r="G20" s="182">
        <v>57.0</v>
      </c>
      <c r="H20" s="331">
        <v>39.05878</v>
      </c>
      <c r="I20" s="331">
        <v>39.21589</v>
      </c>
      <c r="J20" s="331">
        <v>37.48868</v>
      </c>
      <c r="K20" s="196">
        <v>41.18697</v>
      </c>
      <c r="L20" s="196">
        <v>39.17232</v>
      </c>
      <c r="M20" s="196">
        <v>55.2</v>
      </c>
      <c r="N20" s="196">
        <v>78.87262</v>
      </c>
      <c r="O20" s="196">
        <v>45.25</v>
      </c>
      <c r="P20" s="196">
        <v>27.56072</v>
      </c>
      <c r="Q20" s="196">
        <v>35.2703</v>
      </c>
      <c r="R20" s="196">
        <v>61.8</v>
      </c>
      <c r="S20" s="196">
        <v>66.91</v>
      </c>
      <c r="T20" s="183">
        <v>44855.0</v>
      </c>
      <c r="U20" s="35">
        <v>19819.0</v>
      </c>
      <c r="V20" s="35">
        <v>18238.0</v>
      </c>
      <c r="W20" s="36">
        <f t="shared" si="1"/>
        <v>1581</v>
      </c>
      <c r="X20" s="35">
        <v>19966.0</v>
      </c>
      <c r="Y20" s="35">
        <v>17853.0</v>
      </c>
      <c r="Z20" s="36">
        <f t="shared" si="2"/>
        <v>2113</v>
      </c>
      <c r="AA20" s="35">
        <v>17397.0</v>
      </c>
      <c r="AB20" s="35">
        <v>16406.0</v>
      </c>
      <c r="AC20" s="185">
        <v>991.0</v>
      </c>
      <c r="AD20" s="226">
        <v>15196.0</v>
      </c>
      <c r="AE20" s="185">
        <v>1307.0</v>
      </c>
      <c r="AF20" s="185">
        <v>894.0</v>
      </c>
      <c r="AG20" s="35">
        <f t="shared" si="3"/>
        <v>719</v>
      </c>
      <c r="AH20" s="35">
        <v>479.0</v>
      </c>
      <c r="AI20" s="35">
        <v>240.0</v>
      </c>
      <c r="AJ20" s="35">
        <v>872.0</v>
      </c>
      <c r="AK20" s="35">
        <v>691.0</v>
      </c>
      <c r="AL20" s="35">
        <v>181.0</v>
      </c>
      <c r="AM20" s="35">
        <v>13846.0</v>
      </c>
      <c r="AN20" s="35">
        <v>13355.0</v>
      </c>
      <c r="AO20" s="35">
        <v>491.0</v>
      </c>
      <c r="AP20" s="332">
        <v>648.0</v>
      </c>
      <c r="AQ20" s="35">
        <v>404.0</v>
      </c>
      <c r="AR20" s="35">
        <f t="shared" si="4"/>
        <v>244</v>
      </c>
      <c r="AS20" s="35">
        <v>183.0</v>
      </c>
      <c r="AT20" s="35">
        <v>16597.0</v>
      </c>
      <c r="AU20" s="35">
        <v>1722.0</v>
      </c>
      <c r="AV20" s="35">
        <v>1500.0</v>
      </c>
      <c r="AW20" s="35">
        <v>18620.0</v>
      </c>
      <c r="AX20" s="35">
        <v>863.0</v>
      </c>
      <c r="AY20" s="35">
        <v>483.0</v>
      </c>
      <c r="AZ20" s="35">
        <v>269.822</v>
      </c>
      <c r="BA20" s="35">
        <v>240.4399</v>
      </c>
      <c r="BB20" s="35">
        <v>608.7672</v>
      </c>
      <c r="BC20" s="35">
        <v>228.2572</v>
      </c>
      <c r="BD20" s="35">
        <v>1095.841</v>
      </c>
      <c r="BE20" s="35">
        <v>173.4819</v>
      </c>
      <c r="BF20" s="35">
        <v>757.1661</v>
      </c>
      <c r="BG20" s="35">
        <v>776.3227</v>
      </c>
      <c r="BH20" s="35">
        <v>91.86061</v>
      </c>
      <c r="BI20" s="35">
        <v>79.24769</v>
      </c>
      <c r="BJ20" s="35">
        <v>198.4288</v>
      </c>
      <c r="BK20" s="35">
        <v>177.7004</v>
      </c>
      <c r="BL20" s="35">
        <v>157.2522</v>
      </c>
      <c r="BM20" s="35">
        <v>382.333</v>
      </c>
      <c r="BN20" s="35">
        <v>145.3966</v>
      </c>
      <c r="BO20" s="35">
        <v>838.6703</v>
      </c>
      <c r="BP20" s="35">
        <v>268.8119</v>
      </c>
      <c r="BQ20" s="218"/>
      <c r="BR20" s="218"/>
      <c r="BS20" s="218"/>
    </row>
    <row r="21" ht="14.25" customHeight="1">
      <c r="A21" s="181" t="s">
        <v>159</v>
      </c>
      <c r="B21" s="182">
        <v>862.0</v>
      </c>
      <c r="C21" s="182" t="s">
        <v>167</v>
      </c>
      <c r="D21" s="182">
        <v>22.0</v>
      </c>
      <c r="E21" s="182">
        <v>17.0</v>
      </c>
      <c r="F21" s="182">
        <v>17.0</v>
      </c>
      <c r="G21" s="182">
        <v>28.0</v>
      </c>
      <c r="H21" s="331">
        <v>26.5872</v>
      </c>
      <c r="I21" s="331">
        <v>25.05221</v>
      </c>
      <c r="J21" s="331">
        <v>30.47277</v>
      </c>
      <c r="K21" s="196">
        <v>23.94998</v>
      </c>
      <c r="L21" s="196">
        <v>23.34673</v>
      </c>
      <c r="M21" s="196">
        <v>35.07</v>
      </c>
      <c r="N21" s="196">
        <v>27.73346</v>
      </c>
      <c r="O21" s="196">
        <v>27.85</v>
      </c>
      <c r="P21" s="196">
        <v>25.8973</v>
      </c>
      <c r="Q21" s="196">
        <v>35.99342</v>
      </c>
      <c r="R21" s="196">
        <v>21.96</v>
      </c>
      <c r="S21" s="196">
        <v>33.21</v>
      </c>
      <c r="T21" s="183">
        <v>76450.0</v>
      </c>
      <c r="U21" s="35">
        <v>18547.0</v>
      </c>
      <c r="V21" s="35">
        <v>12035.0</v>
      </c>
      <c r="W21" s="36">
        <f t="shared" si="1"/>
        <v>6512</v>
      </c>
      <c r="X21" s="35">
        <v>51748.0</v>
      </c>
      <c r="Y21" s="35">
        <v>38657.0</v>
      </c>
      <c r="Z21" s="36">
        <f t="shared" si="2"/>
        <v>13091</v>
      </c>
      <c r="AA21" s="35">
        <v>9754.0</v>
      </c>
      <c r="AB21" s="35">
        <v>8262.0</v>
      </c>
      <c r="AC21" s="185">
        <v>1492.0</v>
      </c>
      <c r="AD21" s="226">
        <v>8288.0</v>
      </c>
      <c r="AE21" s="185">
        <v>219.0</v>
      </c>
      <c r="AF21" s="185">
        <v>1247.0</v>
      </c>
      <c r="AG21" s="35">
        <f t="shared" si="3"/>
        <v>5166</v>
      </c>
      <c r="AH21" s="35">
        <v>1962.0</v>
      </c>
      <c r="AI21" s="35">
        <v>3204.0</v>
      </c>
      <c r="AJ21" s="35">
        <v>3082.0</v>
      </c>
      <c r="AK21" s="35">
        <v>1412.0</v>
      </c>
      <c r="AL21" s="35">
        <v>1670.0</v>
      </c>
      <c r="AM21" s="35">
        <v>34941.0</v>
      </c>
      <c r="AN21" s="35">
        <v>30786.0</v>
      </c>
      <c r="AO21" s="35">
        <v>4155.0</v>
      </c>
      <c r="AP21" s="332">
        <v>12924.0</v>
      </c>
      <c r="AQ21" s="35">
        <v>5617.0</v>
      </c>
      <c r="AR21" s="35">
        <f t="shared" si="4"/>
        <v>7307</v>
      </c>
      <c r="AS21" s="35">
        <v>3313.0</v>
      </c>
      <c r="AT21" s="35">
        <v>12228.0</v>
      </c>
      <c r="AU21" s="35">
        <v>2339.0</v>
      </c>
      <c r="AV21" s="35">
        <v>3980.0</v>
      </c>
      <c r="AW21" s="35">
        <v>38694.0</v>
      </c>
      <c r="AX21" s="35">
        <v>3157.0</v>
      </c>
      <c r="AY21" s="35">
        <v>9897.0</v>
      </c>
      <c r="AZ21" s="35">
        <v>304.6939</v>
      </c>
      <c r="BA21" s="35">
        <v>231.3486</v>
      </c>
      <c r="BB21" s="35">
        <v>440.2452</v>
      </c>
      <c r="BC21" s="35">
        <v>232.784</v>
      </c>
      <c r="BD21" s="35">
        <v>440.0459</v>
      </c>
      <c r="BE21" s="35">
        <v>207.7326</v>
      </c>
      <c r="BF21" s="35">
        <v>677.8589</v>
      </c>
      <c r="BG21" s="35">
        <v>383.2894</v>
      </c>
      <c r="BH21" s="35">
        <v>95.9486</v>
      </c>
      <c r="BI21" s="35">
        <v>75.27736</v>
      </c>
      <c r="BJ21" s="35">
        <v>156.9896</v>
      </c>
      <c r="BK21" s="35">
        <v>158.1737</v>
      </c>
      <c r="BL21" s="35">
        <v>118.456</v>
      </c>
      <c r="BM21" s="35">
        <v>259.4749</v>
      </c>
      <c r="BN21" s="35">
        <v>105.8229</v>
      </c>
      <c r="BO21" s="35">
        <v>262.2486</v>
      </c>
      <c r="BP21" s="35">
        <v>209.8945</v>
      </c>
      <c r="BQ21" s="218"/>
      <c r="BR21" s="218"/>
      <c r="BS21" s="218"/>
    </row>
    <row r="22" ht="14.25" customHeight="1">
      <c r="A22" s="181" t="s">
        <v>148</v>
      </c>
      <c r="B22" s="182">
        <v>928.0</v>
      </c>
      <c r="C22" s="182" t="s">
        <v>168</v>
      </c>
      <c r="D22" s="182">
        <v>27.0</v>
      </c>
      <c r="E22" s="182">
        <v>21.0</v>
      </c>
      <c r="F22" s="182">
        <v>14.0</v>
      </c>
      <c r="G22" s="182">
        <v>21.0</v>
      </c>
      <c r="H22" s="331">
        <v>20.2208</v>
      </c>
      <c r="I22" s="331">
        <v>19.91827</v>
      </c>
      <c r="J22" s="331">
        <v>21.39741</v>
      </c>
      <c r="K22" s="196">
        <v>20.04422</v>
      </c>
      <c r="L22" s="196">
        <v>19.25722</v>
      </c>
      <c r="M22" s="196">
        <v>22.16</v>
      </c>
      <c r="N22" s="196">
        <v>22.36981</v>
      </c>
      <c r="O22" s="196">
        <v>21.8</v>
      </c>
      <c r="P22" s="196">
        <v>17.88224</v>
      </c>
      <c r="Q22" s="196">
        <v>24.15117</v>
      </c>
      <c r="R22" s="196">
        <v>19.86</v>
      </c>
      <c r="S22" s="196">
        <v>21.19</v>
      </c>
      <c r="T22" s="183">
        <v>16240.0</v>
      </c>
      <c r="U22" s="35">
        <v>1261.0</v>
      </c>
      <c r="V22" s="35">
        <v>879.0</v>
      </c>
      <c r="W22" s="36">
        <f t="shared" si="1"/>
        <v>382</v>
      </c>
      <c r="X22" s="35">
        <v>13759.0</v>
      </c>
      <c r="Y22" s="35">
        <v>11068.0</v>
      </c>
      <c r="Z22" s="36">
        <f t="shared" si="2"/>
        <v>2691</v>
      </c>
      <c r="AA22" s="35">
        <v>348.0</v>
      </c>
      <c r="AB22" s="35">
        <v>272.0</v>
      </c>
      <c r="AC22" s="185">
        <v>76.0</v>
      </c>
      <c r="AD22" s="226">
        <v>284.0</v>
      </c>
      <c r="AE22" s="185">
        <v>30.0</v>
      </c>
      <c r="AF22" s="185">
        <v>34.0</v>
      </c>
      <c r="AG22" s="35">
        <f t="shared" si="3"/>
        <v>356</v>
      </c>
      <c r="AH22" s="35">
        <v>243.0</v>
      </c>
      <c r="AI22" s="35">
        <v>113.0</v>
      </c>
      <c r="AJ22" s="35">
        <v>496.0</v>
      </c>
      <c r="AK22" s="35">
        <v>328.0</v>
      </c>
      <c r="AL22" s="35">
        <v>168.0</v>
      </c>
      <c r="AM22" s="35">
        <v>4158.0</v>
      </c>
      <c r="AN22" s="35">
        <v>3390.0</v>
      </c>
      <c r="AO22" s="35">
        <v>768.0</v>
      </c>
      <c r="AP22" s="332">
        <v>2588.0</v>
      </c>
      <c r="AQ22" s="35">
        <v>1901.0</v>
      </c>
      <c r="AR22" s="35">
        <f t="shared" si="4"/>
        <v>687</v>
      </c>
      <c r="AS22" s="35">
        <v>6116.0</v>
      </c>
      <c r="AT22" s="35">
        <v>791.0</v>
      </c>
      <c r="AU22" s="35">
        <v>341.0</v>
      </c>
      <c r="AV22" s="35">
        <v>129.0</v>
      </c>
      <c r="AW22" s="35">
        <v>9159.0</v>
      </c>
      <c r="AX22" s="35">
        <v>2263.0</v>
      </c>
      <c r="AY22" s="35">
        <v>2337.0</v>
      </c>
      <c r="AZ22" s="35">
        <v>870.7827</v>
      </c>
      <c r="BA22" s="35">
        <v>777.5154</v>
      </c>
      <c r="BB22" s="35">
        <v>1085.395</v>
      </c>
      <c r="BC22" s="35">
        <v>695.1839</v>
      </c>
      <c r="BD22" s="35">
        <v>986.5899</v>
      </c>
      <c r="BE22" s="35">
        <v>536.6397</v>
      </c>
      <c r="BF22" s="35">
        <v>1325.786</v>
      </c>
      <c r="BG22" s="35">
        <v>1716.915</v>
      </c>
      <c r="BH22" s="35">
        <v>308.5891</v>
      </c>
      <c r="BI22" s="35">
        <v>289.3737</v>
      </c>
      <c r="BJ22" s="35">
        <v>387.6213</v>
      </c>
      <c r="BK22" s="35">
        <v>395.5123</v>
      </c>
      <c r="BL22" s="35">
        <v>364.5818</v>
      </c>
      <c r="BM22" s="35">
        <v>515.7439</v>
      </c>
      <c r="BN22" s="35">
        <v>365.0222</v>
      </c>
      <c r="BO22" s="35">
        <v>513.3442</v>
      </c>
      <c r="BP22" s="35">
        <v>393.7837</v>
      </c>
      <c r="BQ22" s="218"/>
      <c r="BR22" s="218"/>
      <c r="BS22" s="218"/>
    </row>
    <row r="23" ht="14.25" customHeight="1">
      <c r="A23" s="181" t="s">
        <v>148</v>
      </c>
      <c r="B23" s="182">
        <v>844.0</v>
      </c>
      <c r="C23" s="182" t="s">
        <v>169</v>
      </c>
      <c r="D23" s="182">
        <v>8.0</v>
      </c>
      <c r="E23" s="182">
        <v>4.0</v>
      </c>
      <c r="F23" s="182">
        <v>6.0</v>
      </c>
      <c r="G23" s="182">
        <v>12.0</v>
      </c>
      <c r="H23" s="331">
        <v>7.473792</v>
      </c>
      <c r="I23" s="331">
        <v>6.863736</v>
      </c>
      <c r="J23" s="331">
        <v>16.28571</v>
      </c>
      <c r="K23" s="196">
        <v>5.986443</v>
      </c>
      <c r="L23" s="196">
        <v>5.86545</v>
      </c>
      <c r="M23" s="196">
        <v>5.07</v>
      </c>
      <c r="N23" s="196">
        <v>8.129745</v>
      </c>
      <c r="O23" s="196">
        <v>17.22</v>
      </c>
      <c r="P23" s="196">
        <v>14.51606</v>
      </c>
      <c r="Q23" s="196">
        <v>23.72256</v>
      </c>
      <c r="R23" s="196">
        <v>23.42</v>
      </c>
      <c r="S23" s="196">
        <v>0.0</v>
      </c>
      <c r="T23" s="183">
        <v>978.0</v>
      </c>
      <c r="U23" s="35">
        <v>12.0</v>
      </c>
      <c r="V23" s="35">
        <v>7.0</v>
      </c>
      <c r="W23" s="36">
        <f t="shared" si="1"/>
        <v>5</v>
      </c>
      <c r="X23" s="35">
        <v>958.0</v>
      </c>
      <c r="Y23" s="35">
        <v>904.0</v>
      </c>
      <c r="Z23" s="36">
        <f t="shared" si="2"/>
        <v>54</v>
      </c>
      <c r="AA23" s="35">
        <v>7.0</v>
      </c>
      <c r="AB23" s="35">
        <v>6.0</v>
      </c>
      <c r="AC23" s="185">
        <v>1.0</v>
      </c>
      <c r="AD23" s="226">
        <v>6.0</v>
      </c>
      <c r="AE23" s="185">
        <v>0.0</v>
      </c>
      <c r="AF23" s="185">
        <v>1.0</v>
      </c>
      <c r="AG23" s="35">
        <f t="shared" si="3"/>
        <v>5</v>
      </c>
      <c r="AH23" s="35">
        <v>1.0</v>
      </c>
      <c r="AI23" s="35">
        <v>4.0</v>
      </c>
      <c r="AJ23" s="35">
        <v>0.0</v>
      </c>
      <c r="AK23" s="35">
        <v>0.0</v>
      </c>
      <c r="AL23" s="35">
        <v>0.0</v>
      </c>
      <c r="AM23" s="35">
        <v>821.0</v>
      </c>
      <c r="AN23" s="35">
        <v>787.0</v>
      </c>
      <c r="AO23" s="35">
        <v>34.0</v>
      </c>
      <c r="AP23" s="332">
        <v>104.0</v>
      </c>
      <c r="AQ23" s="35">
        <v>84.0</v>
      </c>
      <c r="AR23" s="35">
        <f t="shared" si="4"/>
        <v>20</v>
      </c>
      <c r="AS23" s="35">
        <v>28.0</v>
      </c>
      <c r="AT23" s="35">
        <v>8.0</v>
      </c>
      <c r="AU23" s="35">
        <v>3.0</v>
      </c>
      <c r="AV23" s="35">
        <v>1.0</v>
      </c>
      <c r="AW23" s="35">
        <v>795.0</v>
      </c>
      <c r="AX23" s="35">
        <v>94.0</v>
      </c>
      <c r="AY23" s="35">
        <v>69.0</v>
      </c>
      <c r="AZ23" s="35">
        <v>273.5</v>
      </c>
      <c r="BA23" s="35">
        <v>35.28571</v>
      </c>
      <c r="BB23" s="35">
        <v>607.0</v>
      </c>
      <c r="BC23" s="35">
        <v>14.42857</v>
      </c>
      <c r="BD23" s="35">
        <v>636.2</v>
      </c>
      <c r="BE23" s="35">
        <v>111.125</v>
      </c>
      <c r="BF23" s="35">
        <v>797.6667</v>
      </c>
      <c r="BG23" s="35">
        <v>0.0</v>
      </c>
      <c r="BH23" s="35">
        <v>55.51775</v>
      </c>
      <c r="BI23" s="35">
        <v>47.03097</v>
      </c>
      <c r="BJ23" s="35">
        <v>197.5926</v>
      </c>
      <c r="BK23" s="35">
        <v>61.13292</v>
      </c>
      <c r="BL23" s="35">
        <v>47.41138</v>
      </c>
      <c r="BM23" s="35">
        <v>257.0938</v>
      </c>
      <c r="BN23" s="35">
        <v>32.29327</v>
      </c>
      <c r="BO23" s="35">
        <v>265.6964</v>
      </c>
      <c r="BP23" s="35">
        <v>25.64286</v>
      </c>
      <c r="BQ23" s="218"/>
      <c r="BR23" s="218"/>
      <c r="BS23" s="218"/>
    </row>
    <row r="24" ht="14.25" customHeight="1">
      <c r="A24" s="181" t="s">
        <v>146</v>
      </c>
      <c r="B24" s="182">
        <v>851.0</v>
      </c>
      <c r="C24" s="182" t="s">
        <v>170</v>
      </c>
      <c r="D24" s="182">
        <v>15.0</v>
      </c>
      <c r="E24" s="182">
        <v>13.0</v>
      </c>
      <c r="F24" s="182">
        <v>7.0</v>
      </c>
      <c r="G24" s="182">
        <v>12.0</v>
      </c>
      <c r="H24" s="331">
        <v>17.34211</v>
      </c>
      <c r="I24" s="331">
        <v>17.34211</v>
      </c>
      <c r="J24" s="331" t="s">
        <v>231</v>
      </c>
      <c r="K24" s="196">
        <v>17.43973</v>
      </c>
      <c r="L24" s="196">
        <v>19.1655</v>
      </c>
      <c r="M24" s="196">
        <v>15.0</v>
      </c>
      <c r="N24" s="196">
        <v>12.9609</v>
      </c>
      <c r="O24" s="196">
        <v>0.0</v>
      </c>
      <c r="P24" s="196">
        <v>0.0</v>
      </c>
      <c r="Q24" s="196">
        <v>0.0</v>
      </c>
      <c r="R24" s="196">
        <v>0.0</v>
      </c>
      <c r="S24" s="196">
        <v>0.0</v>
      </c>
      <c r="T24" s="183">
        <v>38.0</v>
      </c>
      <c r="U24" s="218">
        <v>0.0</v>
      </c>
      <c r="V24" s="35">
        <v>0.0</v>
      </c>
      <c r="W24" s="36">
        <f t="shared" si="1"/>
        <v>0</v>
      </c>
      <c r="X24" s="35">
        <v>38.0</v>
      </c>
      <c r="Y24" s="35">
        <v>38.0</v>
      </c>
      <c r="Z24" s="36">
        <f t="shared" si="2"/>
        <v>0</v>
      </c>
      <c r="AA24" s="35">
        <v>0.0</v>
      </c>
      <c r="AB24" s="35">
        <v>0.0</v>
      </c>
      <c r="AC24" s="185">
        <v>0.0</v>
      </c>
      <c r="AD24" s="185">
        <v>0.0</v>
      </c>
      <c r="AE24" s="185">
        <v>0.0</v>
      </c>
      <c r="AF24" s="185">
        <v>0.0</v>
      </c>
      <c r="AG24" s="35">
        <f t="shared" si="3"/>
        <v>0</v>
      </c>
      <c r="AH24" s="35">
        <v>0.0</v>
      </c>
      <c r="AI24" s="35">
        <v>0.0</v>
      </c>
      <c r="AJ24" s="35">
        <v>0.0</v>
      </c>
      <c r="AK24" s="35">
        <v>0.0</v>
      </c>
      <c r="AL24" s="35">
        <v>0.0</v>
      </c>
      <c r="AM24" s="35">
        <v>36.0</v>
      </c>
      <c r="AN24" s="35">
        <v>36.0</v>
      </c>
      <c r="AO24" s="35">
        <v>0.0</v>
      </c>
      <c r="AP24" s="2">
        <v>0.0</v>
      </c>
      <c r="AQ24" s="35">
        <v>0.0</v>
      </c>
      <c r="AR24" s="35">
        <f t="shared" si="4"/>
        <v>0</v>
      </c>
      <c r="AS24" s="35">
        <v>0.0</v>
      </c>
      <c r="AT24" s="35">
        <v>0.0</v>
      </c>
      <c r="AU24" s="35">
        <v>0.0</v>
      </c>
      <c r="AV24" s="35">
        <v>0.0</v>
      </c>
      <c r="AW24" s="35">
        <v>25.0</v>
      </c>
      <c r="AX24" s="35">
        <v>4.0</v>
      </c>
      <c r="AY24" s="35">
        <v>9.0</v>
      </c>
      <c r="AZ24" s="35">
        <v>0.0</v>
      </c>
      <c r="BA24" s="35">
        <v>0.0</v>
      </c>
      <c r="BB24" s="35">
        <v>0.0</v>
      </c>
      <c r="BC24" s="35">
        <v>0.0</v>
      </c>
      <c r="BD24" s="35">
        <v>0.0</v>
      </c>
      <c r="BE24" s="35">
        <v>0.0</v>
      </c>
      <c r="BF24" s="35">
        <v>0.0</v>
      </c>
      <c r="BG24" s="35">
        <v>0.0</v>
      </c>
      <c r="BH24" s="35">
        <v>357.5263</v>
      </c>
      <c r="BI24" s="35">
        <v>357.5263</v>
      </c>
      <c r="BJ24" s="35">
        <v>0.0</v>
      </c>
      <c r="BK24" s="35">
        <v>357.5263</v>
      </c>
      <c r="BL24" s="35">
        <v>357.5263</v>
      </c>
      <c r="BM24" s="226">
        <v>0.0</v>
      </c>
      <c r="BN24" s="35">
        <v>363.0</v>
      </c>
      <c r="BO24" s="226">
        <v>0.0</v>
      </c>
      <c r="BP24" s="226">
        <v>0.0</v>
      </c>
      <c r="BQ24" s="218"/>
      <c r="BR24" s="218"/>
      <c r="BS24" s="218"/>
    </row>
    <row r="25" ht="14.25" customHeight="1">
      <c r="A25" s="181" t="s">
        <v>155</v>
      </c>
      <c r="B25" s="182">
        <v>771.0</v>
      </c>
      <c r="C25" s="182" t="s">
        <v>171</v>
      </c>
      <c r="D25" s="182">
        <v>24.0</v>
      </c>
      <c r="E25" s="182">
        <v>17.0</v>
      </c>
      <c r="F25" s="182">
        <v>22.0</v>
      </c>
      <c r="G25" s="182">
        <v>30.0</v>
      </c>
      <c r="H25" s="331">
        <v>28.44631</v>
      </c>
      <c r="I25" s="331">
        <v>29.14857</v>
      </c>
      <c r="J25" s="331">
        <v>25.14646</v>
      </c>
      <c r="K25" s="196">
        <v>29.15871</v>
      </c>
      <c r="L25" s="196">
        <v>25.64379</v>
      </c>
      <c r="M25" s="196">
        <v>41.18</v>
      </c>
      <c r="N25" s="196">
        <v>45.32485</v>
      </c>
      <c r="O25" s="196">
        <v>22.34</v>
      </c>
      <c r="P25" s="196">
        <v>19.42803</v>
      </c>
      <c r="Q25" s="196">
        <v>30.54531</v>
      </c>
      <c r="R25" s="196">
        <v>18.78</v>
      </c>
      <c r="S25" s="196">
        <v>24.82</v>
      </c>
      <c r="T25" s="183">
        <v>125582.0</v>
      </c>
      <c r="U25" s="35">
        <v>32472.0</v>
      </c>
      <c r="V25" s="35">
        <v>28000.0</v>
      </c>
      <c r="W25" s="36">
        <f t="shared" si="1"/>
        <v>4472</v>
      </c>
      <c r="X25" s="35">
        <v>83264.0</v>
      </c>
      <c r="Y25" s="35">
        <v>67726.0</v>
      </c>
      <c r="Z25" s="36">
        <f t="shared" si="2"/>
        <v>15538</v>
      </c>
      <c r="AA25" s="35">
        <v>17364.0</v>
      </c>
      <c r="AB25" s="35">
        <v>16397.0</v>
      </c>
      <c r="AC25" s="185">
        <v>967.0</v>
      </c>
      <c r="AD25" s="226">
        <v>10651.0</v>
      </c>
      <c r="AE25" s="185">
        <v>1183.0</v>
      </c>
      <c r="AF25" s="185">
        <v>5530.0</v>
      </c>
      <c r="AG25" s="35">
        <f t="shared" si="3"/>
        <v>5193</v>
      </c>
      <c r="AH25" s="35">
        <v>2246.0</v>
      </c>
      <c r="AI25" s="35">
        <v>2947.0</v>
      </c>
      <c r="AJ25" s="35">
        <v>185.0</v>
      </c>
      <c r="AK25" s="35">
        <v>113.0</v>
      </c>
      <c r="AL25" s="35">
        <v>72.0</v>
      </c>
      <c r="AM25" s="35">
        <v>43717.0</v>
      </c>
      <c r="AN25" s="35">
        <v>40519.0</v>
      </c>
      <c r="AO25" s="35">
        <v>3198.0</v>
      </c>
      <c r="AP25" s="332">
        <v>23351.0</v>
      </c>
      <c r="AQ25" s="35">
        <v>13132.0</v>
      </c>
      <c r="AR25" s="35">
        <f t="shared" si="4"/>
        <v>10219</v>
      </c>
      <c r="AS25" s="35">
        <v>481.0</v>
      </c>
      <c r="AT25" s="35">
        <v>21120.0</v>
      </c>
      <c r="AU25" s="35">
        <v>3950.0</v>
      </c>
      <c r="AV25" s="35">
        <v>7402.0</v>
      </c>
      <c r="AW25" s="35">
        <v>71475.0</v>
      </c>
      <c r="AX25" s="35">
        <v>6164.0</v>
      </c>
      <c r="AY25" s="35">
        <v>5625.0</v>
      </c>
      <c r="AZ25" s="35">
        <v>216.8811</v>
      </c>
      <c r="BA25" s="35">
        <v>169.6479</v>
      </c>
      <c r="BB25" s="35">
        <v>512.6169</v>
      </c>
      <c r="BC25" s="35">
        <v>198.5844</v>
      </c>
      <c r="BD25" s="35">
        <v>414.3535</v>
      </c>
      <c r="BE25" s="35">
        <v>121.8109</v>
      </c>
      <c r="BF25" s="35">
        <v>659.4995</v>
      </c>
      <c r="BG25" s="35">
        <v>251.9445</v>
      </c>
      <c r="BH25" s="35">
        <v>87.0866</v>
      </c>
      <c r="BI25" s="35">
        <v>70.05109</v>
      </c>
      <c r="BJ25" s="35">
        <v>161.3399</v>
      </c>
      <c r="BK25" s="35">
        <v>128.7546</v>
      </c>
      <c r="BL25" s="35">
        <v>102.1006</v>
      </c>
      <c r="BM25" s="35">
        <v>257.2677</v>
      </c>
      <c r="BN25" s="35">
        <v>105.4446</v>
      </c>
      <c r="BO25" s="35">
        <v>214.9776</v>
      </c>
      <c r="BP25" s="35">
        <v>151.2108</v>
      </c>
      <c r="BQ25" s="218"/>
      <c r="BR25" s="218"/>
      <c r="BS25" s="218"/>
    </row>
    <row r="26" ht="14.25" customHeight="1">
      <c r="A26" s="181" t="s">
        <v>150</v>
      </c>
      <c r="B26" s="182">
        <v>928.0</v>
      </c>
      <c r="C26" s="182" t="s">
        <v>172</v>
      </c>
      <c r="D26" s="182">
        <v>25.0</v>
      </c>
      <c r="E26" s="182">
        <v>26.0</v>
      </c>
      <c r="F26" s="182">
        <v>20.0</v>
      </c>
      <c r="G26" s="182">
        <v>38.0</v>
      </c>
      <c r="H26" s="331">
        <v>24.33377</v>
      </c>
      <c r="I26" s="331">
        <v>21.79087</v>
      </c>
      <c r="J26" s="331">
        <v>31.84419</v>
      </c>
      <c r="K26" s="196">
        <v>20.06405</v>
      </c>
      <c r="L26" s="196">
        <v>19.76897</v>
      </c>
      <c r="M26" s="196">
        <v>34.53</v>
      </c>
      <c r="N26" s="196">
        <v>34.32346</v>
      </c>
      <c r="O26" s="196">
        <v>27.21</v>
      </c>
      <c r="P26" s="196">
        <v>26.98996</v>
      </c>
      <c r="Q26" s="196">
        <v>27.93655</v>
      </c>
      <c r="R26" s="196">
        <v>26.87</v>
      </c>
      <c r="S26" s="196">
        <v>31.56</v>
      </c>
      <c r="T26" s="183">
        <v>109605.0</v>
      </c>
      <c r="U26" s="35">
        <v>19665.0</v>
      </c>
      <c r="V26" s="35">
        <v>9764.0</v>
      </c>
      <c r="W26" s="36">
        <f t="shared" si="1"/>
        <v>9901</v>
      </c>
      <c r="X26" s="35">
        <v>83264.0</v>
      </c>
      <c r="Y26" s="35">
        <v>64750.0</v>
      </c>
      <c r="Z26" s="36">
        <f t="shared" si="2"/>
        <v>18514</v>
      </c>
      <c r="AA26" s="35">
        <v>5348.0</v>
      </c>
      <c r="AB26" s="35">
        <v>3811.0</v>
      </c>
      <c r="AC26" s="185">
        <v>1537.0</v>
      </c>
      <c r="AD26" s="226">
        <v>4822.0</v>
      </c>
      <c r="AE26" s="185">
        <v>342.0</v>
      </c>
      <c r="AF26" s="185">
        <v>184.0</v>
      </c>
      <c r="AG26" s="35">
        <f t="shared" si="3"/>
        <v>5165</v>
      </c>
      <c r="AH26" s="35">
        <v>1519.0</v>
      </c>
      <c r="AI26" s="35">
        <v>3646.0</v>
      </c>
      <c r="AJ26" s="35">
        <v>8740.0</v>
      </c>
      <c r="AK26" s="35">
        <v>4183.0</v>
      </c>
      <c r="AL26" s="35">
        <v>4557.0</v>
      </c>
      <c r="AM26" s="35">
        <v>54570.0</v>
      </c>
      <c r="AN26" s="35">
        <v>50713.0</v>
      </c>
      <c r="AO26" s="35">
        <v>3857.0</v>
      </c>
      <c r="AP26" s="332">
        <v>12231.0</v>
      </c>
      <c r="AQ26" s="35">
        <v>6529.0</v>
      </c>
      <c r="AR26" s="35">
        <f t="shared" si="4"/>
        <v>5702</v>
      </c>
      <c r="AS26" s="35">
        <v>11401.0</v>
      </c>
      <c r="AT26" s="35">
        <v>10341.0</v>
      </c>
      <c r="AU26" s="35">
        <v>6158.0</v>
      </c>
      <c r="AV26" s="35">
        <v>3166.0</v>
      </c>
      <c r="AW26" s="35">
        <v>63847.0</v>
      </c>
      <c r="AX26" s="35">
        <v>8368.0</v>
      </c>
      <c r="AY26" s="35">
        <v>6816.0</v>
      </c>
      <c r="AZ26" s="35">
        <v>567.703</v>
      </c>
      <c r="BA26" s="35">
        <v>408.5071</v>
      </c>
      <c r="BB26" s="35">
        <v>724.6961</v>
      </c>
      <c r="BC26" s="35">
        <v>243.4529</v>
      </c>
      <c r="BD26" s="35">
        <v>638.7636</v>
      </c>
      <c r="BE26" s="35">
        <v>377.4256</v>
      </c>
      <c r="BF26" s="35">
        <v>916.4159</v>
      </c>
      <c r="BG26" s="35">
        <v>510.9387</v>
      </c>
      <c r="BH26" s="35">
        <v>101.0394</v>
      </c>
      <c r="BI26" s="35">
        <v>82.57174</v>
      </c>
      <c r="BJ26" s="35">
        <v>184.7717</v>
      </c>
      <c r="BK26" s="35">
        <v>206.0736</v>
      </c>
      <c r="BL26" s="35">
        <v>136.9428</v>
      </c>
      <c r="BM26" s="35">
        <v>410.4638</v>
      </c>
      <c r="BN26" s="35">
        <v>85.23424</v>
      </c>
      <c r="BO26" s="35">
        <v>331.7628</v>
      </c>
      <c r="BP26" s="35">
        <v>425.9653</v>
      </c>
      <c r="BQ26" s="218"/>
      <c r="BR26" s="218"/>
      <c r="BS26" s="218"/>
    </row>
    <row r="27" ht="14.25" customHeight="1">
      <c r="A27" s="181" t="s">
        <v>150</v>
      </c>
      <c r="B27" s="182">
        <v>741.0</v>
      </c>
      <c r="C27" s="182" t="s">
        <v>173</v>
      </c>
      <c r="D27" s="182">
        <v>13.0</v>
      </c>
      <c r="E27" s="182">
        <v>10.0</v>
      </c>
      <c r="F27" s="182">
        <v>9.0</v>
      </c>
      <c r="G27" s="182">
        <v>15.0</v>
      </c>
      <c r="H27" s="331">
        <v>13.67533</v>
      </c>
      <c r="I27" s="331">
        <v>13.59062</v>
      </c>
      <c r="J27" s="331">
        <v>14.21338</v>
      </c>
      <c r="K27" s="196">
        <v>14.23403</v>
      </c>
      <c r="L27" s="196">
        <v>13.51888</v>
      </c>
      <c r="M27" s="196">
        <v>16.66</v>
      </c>
      <c r="N27" s="196">
        <v>15.91292</v>
      </c>
      <c r="O27" s="196">
        <v>17.67</v>
      </c>
      <c r="P27" s="196">
        <v>13.17004</v>
      </c>
      <c r="Q27" s="196">
        <v>20.66014</v>
      </c>
      <c r="R27" s="196">
        <v>15.12</v>
      </c>
      <c r="S27" s="196">
        <v>7.62</v>
      </c>
      <c r="T27" s="183">
        <v>4617.0</v>
      </c>
      <c r="U27" s="35">
        <v>194.0</v>
      </c>
      <c r="V27" s="35">
        <v>161.0</v>
      </c>
      <c r="W27" s="36">
        <f t="shared" si="1"/>
        <v>33</v>
      </c>
      <c r="X27" s="35">
        <v>4293.0</v>
      </c>
      <c r="Y27" s="35">
        <v>3720.0</v>
      </c>
      <c r="Z27" s="36">
        <f t="shared" si="2"/>
        <v>573</v>
      </c>
      <c r="AA27" s="35">
        <v>107.0</v>
      </c>
      <c r="AB27" s="35">
        <v>98.0</v>
      </c>
      <c r="AC27" s="185">
        <v>9.0</v>
      </c>
      <c r="AD27" s="226">
        <v>73.0</v>
      </c>
      <c r="AE27" s="185">
        <v>31.0</v>
      </c>
      <c r="AF27" s="185">
        <v>3.0</v>
      </c>
      <c r="AG27" s="35">
        <f t="shared" si="3"/>
        <v>64</v>
      </c>
      <c r="AH27" s="35">
        <v>41.0</v>
      </c>
      <c r="AI27" s="35">
        <v>23.0</v>
      </c>
      <c r="AJ27" s="35">
        <v>11.0</v>
      </c>
      <c r="AK27" s="35">
        <v>11.0</v>
      </c>
      <c r="AL27" s="35">
        <v>0.0</v>
      </c>
      <c r="AM27" s="35">
        <v>1735.0</v>
      </c>
      <c r="AN27" s="35">
        <v>1508.0</v>
      </c>
      <c r="AO27" s="35">
        <v>227.0</v>
      </c>
      <c r="AP27" s="332">
        <v>897.0</v>
      </c>
      <c r="AQ27" s="35">
        <v>668.0</v>
      </c>
      <c r="AR27" s="35">
        <f t="shared" si="4"/>
        <v>229</v>
      </c>
      <c r="AS27" s="35">
        <v>555.0</v>
      </c>
      <c r="AT27" s="35">
        <v>98.0</v>
      </c>
      <c r="AU27" s="35">
        <v>83.0</v>
      </c>
      <c r="AV27" s="35">
        <v>13.0</v>
      </c>
      <c r="AW27" s="35">
        <v>3184.0</v>
      </c>
      <c r="AX27" s="35">
        <v>862.0</v>
      </c>
      <c r="AY27" s="35">
        <v>247.0</v>
      </c>
      <c r="AZ27" s="35">
        <v>678.8969</v>
      </c>
      <c r="BA27" s="35">
        <v>553.8012</v>
      </c>
      <c r="BB27" s="35">
        <v>1289.212</v>
      </c>
      <c r="BC27" s="35">
        <v>206.0654</v>
      </c>
      <c r="BD27" s="35">
        <v>1627.219</v>
      </c>
      <c r="BE27" s="35">
        <v>122.1837</v>
      </c>
      <c r="BF27" s="35">
        <v>1295.277</v>
      </c>
      <c r="BG27" s="35">
        <v>940.3077</v>
      </c>
      <c r="BH27" s="35">
        <v>116.6</v>
      </c>
      <c r="BI27" s="35">
        <v>102.8946</v>
      </c>
      <c r="BJ27" s="35">
        <v>205.5777</v>
      </c>
      <c r="BK27" s="35">
        <v>150.1395</v>
      </c>
      <c r="BL27" s="35">
        <v>129.9133</v>
      </c>
      <c r="BM27" s="35">
        <v>278.6146</v>
      </c>
      <c r="BN27" s="35">
        <v>83.59474</v>
      </c>
      <c r="BO27" s="35">
        <v>425.9069</v>
      </c>
      <c r="BP27" s="35">
        <v>52.23328</v>
      </c>
      <c r="BQ27" s="218"/>
      <c r="BR27" s="218"/>
      <c r="BS27" s="218"/>
    </row>
    <row r="28" ht="14.25" customHeight="1">
      <c r="A28" s="181" t="s">
        <v>155</v>
      </c>
      <c r="B28" s="182">
        <v>716.0</v>
      </c>
      <c r="C28" s="182" t="s">
        <v>174</v>
      </c>
      <c r="D28" s="182">
        <v>20.0</v>
      </c>
      <c r="E28" s="182">
        <v>13.0</v>
      </c>
      <c r="F28" s="182">
        <v>11.0</v>
      </c>
      <c r="G28" s="182">
        <v>19.0</v>
      </c>
      <c r="H28" s="331">
        <v>23.44209</v>
      </c>
      <c r="I28" s="331">
        <v>23.41011</v>
      </c>
      <c r="J28" s="331">
        <v>23.85213</v>
      </c>
      <c r="K28" s="196">
        <v>23.54966</v>
      </c>
      <c r="L28" s="196">
        <v>28.73183</v>
      </c>
      <c r="M28" s="196">
        <v>23.0</v>
      </c>
      <c r="N28" s="196">
        <v>11.37492</v>
      </c>
      <c r="O28" s="196">
        <v>21.39</v>
      </c>
      <c r="P28" s="196">
        <v>25.5533</v>
      </c>
      <c r="Q28" s="196">
        <v>26.95935</v>
      </c>
      <c r="R28" s="196">
        <v>13.44</v>
      </c>
      <c r="S28" s="196">
        <v>16.37</v>
      </c>
      <c r="T28" s="183">
        <v>14600.0</v>
      </c>
      <c r="U28" s="35">
        <v>2577.0</v>
      </c>
      <c r="V28" s="35">
        <v>2402.0</v>
      </c>
      <c r="W28" s="36">
        <f t="shared" si="1"/>
        <v>175</v>
      </c>
      <c r="X28" s="35">
        <v>10989.0</v>
      </c>
      <c r="Y28" s="35">
        <v>10182.0</v>
      </c>
      <c r="Z28" s="36">
        <f t="shared" si="2"/>
        <v>807</v>
      </c>
      <c r="AA28" s="35">
        <v>1403.0</v>
      </c>
      <c r="AB28" s="35">
        <v>1332.0</v>
      </c>
      <c r="AC28" s="185">
        <v>71.0</v>
      </c>
      <c r="AD28" s="226">
        <v>1335.0</v>
      </c>
      <c r="AE28" s="185">
        <v>2.0</v>
      </c>
      <c r="AF28" s="185">
        <v>66.0</v>
      </c>
      <c r="AG28" s="35">
        <f t="shared" si="3"/>
        <v>325</v>
      </c>
      <c r="AH28" s="35">
        <v>277.0</v>
      </c>
      <c r="AI28" s="35">
        <v>48.0</v>
      </c>
      <c r="AJ28" s="35">
        <v>791.0</v>
      </c>
      <c r="AK28" s="35">
        <v>737.0</v>
      </c>
      <c r="AL28" s="35">
        <v>54.0</v>
      </c>
      <c r="AM28" s="35">
        <v>5795.0</v>
      </c>
      <c r="AN28" s="35">
        <v>5544.0</v>
      </c>
      <c r="AO28" s="35">
        <v>251.0</v>
      </c>
      <c r="AP28" s="332">
        <v>1674.0</v>
      </c>
      <c r="AQ28" s="35">
        <v>1483.0</v>
      </c>
      <c r="AR28" s="35">
        <f t="shared" si="4"/>
        <v>191</v>
      </c>
      <c r="AS28" s="35">
        <v>3062.0</v>
      </c>
      <c r="AT28" s="35">
        <v>2284.0</v>
      </c>
      <c r="AU28" s="35">
        <v>51.0</v>
      </c>
      <c r="AV28" s="35">
        <v>242.0</v>
      </c>
      <c r="AW28" s="35">
        <v>6284.0</v>
      </c>
      <c r="AX28" s="35">
        <v>159.0</v>
      </c>
      <c r="AY28" s="35">
        <v>4546.0</v>
      </c>
      <c r="AZ28" s="35">
        <v>163.9305</v>
      </c>
      <c r="BA28" s="35">
        <v>146.4425</v>
      </c>
      <c r="BB28" s="35">
        <v>403.9657</v>
      </c>
      <c r="BC28" s="35">
        <v>123.5453</v>
      </c>
      <c r="BD28" s="35">
        <v>298.9261</v>
      </c>
      <c r="BE28" s="35">
        <v>135.9212</v>
      </c>
      <c r="BF28" s="35">
        <v>802.451</v>
      </c>
      <c r="BG28" s="35">
        <v>293.719</v>
      </c>
      <c r="BH28" s="35">
        <v>57.91728</v>
      </c>
      <c r="BI28" s="35">
        <v>52.86142</v>
      </c>
      <c r="BJ28" s="35">
        <v>121.7076</v>
      </c>
      <c r="BK28" s="35">
        <v>80.11781</v>
      </c>
      <c r="BL28" s="35">
        <v>72.81971</v>
      </c>
      <c r="BM28" s="35">
        <v>173.8171</v>
      </c>
      <c r="BN28" s="35">
        <v>60.2886</v>
      </c>
      <c r="BO28" s="35">
        <v>125.3146</v>
      </c>
      <c r="BP28" s="35">
        <v>92.24736</v>
      </c>
      <c r="BQ28" s="218"/>
      <c r="BR28" s="218"/>
      <c r="BS28" s="218"/>
    </row>
    <row r="29" ht="14.25" customHeight="1">
      <c r="A29" s="181" t="s">
        <v>150</v>
      </c>
      <c r="B29" s="182">
        <v>765.0</v>
      </c>
      <c r="C29" s="182" t="s">
        <v>175</v>
      </c>
      <c r="D29" s="182">
        <v>15.0</v>
      </c>
      <c r="E29" s="182">
        <v>7.0</v>
      </c>
      <c r="F29" s="182">
        <v>9.0</v>
      </c>
      <c r="G29" s="182">
        <v>14.0</v>
      </c>
      <c r="H29" s="331">
        <v>13.51769</v>
      </c>
      <c r="I29" s="331">
        <v>13.24734</v>
      </c>
      <c r="J29" s="331">
        <v>14.08149</v>
      </c>
      <c r="K29" s="196">
        <v>12.35423</v>
      </c>
      <c r="L29" s="196">
        <v>16.23753</v>
      </c>
      <c r="M29" s="196">
        <v>8.38</v>
      </c>
      <c r="N29" s="196">
        <v>8.446388</v>
      </c>
      <c r="O29" s="196">
        <v>16.9</v>
      </c>
      <c r="P29" s="196">
        <v>19.7818</v>
      </c>
      <c r="Q29" s="196">
        <v>24.91367</v>
      </c>
      <c r="R29" s="196">
        <v>12.6</v>
      </c>
      <c r="S29" s="196">
        <v>10.3</v>
      </c>
      <c r="T29" s="183">
        <v>3911.0</v>
      </c>
      <c r="U29" s="35">
        <v>210.0</v>
      </c>
      <c r="V29" s="35">
        <v>123.0</v>
      </c>
      <c r="W29" s="36">
        <f t="shared" si="1"/>
        <v>87</v>
      </c>
      <c r="X29" s="35">
        <v>3586.0</v>
      </c>
      <c r="Y29" s="35">
        <v>2460.0</v>
      </c>
      <c r="Z29" s="36">
        <f t="shared" si="2"/>
        <v>1126</v>
      </c>
      <c r="AA29" s="35">
        <v>114.0</v>
      </c>
      <c r="AB29" s="35">
        <v>99.0</v>
      </c>
      <c r="AC29" s="185">
        <v>15.0</v>
      </c>
      <c r="AD29" s="226">
        <v>104.0</v>
      </c>
      <c r="AE29" s="185">
        <v>0.0</v>
      </c>
      <c r="AF29" s="185">
        <v>10.0</v>
      </c>
      <c r="AG29" s="35">
        <f t="shared" si="3"/>
        <v>84</v>
      </c>
      <c r="AH29" s="35">
        <v>23.0</v>
      </c>
      <c r="AI29" s="35">
        <v>61.0</v>
      </c>
      <c r="AJ29" s="35">
        <v>10.0</v>
      </c>
      <c r="AK29" s="35">
        <v>1.0</v>
      </c>
      <c r="AL29" s="35">
        <v>9.0</v>
      </c>
      <c r="AM29" s="35">
        <v>2379.0</v>
      </c>
      <c r="AN29" s="35">
        <v>1770.0</v>
      </c>
      <c r="AO29" s="35">
        <v>609.0</v>
      </c>
      <c r="AP29" s="332">
        <v>894.0</v>
      </c>
      <c r="AQ29" s="35">
        <v>513.0</v>
      </c>
      <c r="AR29" s="35">
        <f t="shared" si="4"/>
        <v>381</v>
      </c>
      <c r="AS29" s="35">
        <v>217.0</v>
      </c>
      <c r="AT29" s="35">
        <v>174.0</v>
      </c>
      <c r="AU29" s="35">
        <v>1.0</v>
      </c>
      <c r="AV29" s="35">
        <v>35.0</v>
      </c>
      <c r="AW29" s="35">
        <v>1655.0</v>
      </c>
      <c r="AX29" s="35">
        <v>12.0</v>
      </c>
      <c r="AY29" s="35">
        <v>1919.0</v>
      </c>
      <c r="AZ29" s="35">
        <v>237.281</v>
      </c>
      <c r="BA29" s="35">
        <v>120.3984</v>
      </c>
      <c r="BB29" s="35">
        <v>402.5287</v>
      </c>
      <c r="BC29" s="35">
        <v>97.64912</v>
      </c>
      <c r="BD29" s="35">
        <v>398.8214</v>
      </c>
      <c r="BE29" s="35">
        <v>228.4483</v>
      </c>
      <c r="BF29" s="35">
        <v>648.0</v>
      </c>
      <c r="BG29" s="35">
        <v>269.4571</v>
      </c>
      <c r="BH29" s="35">
        <v>64.9696</v>
      </c>
      <c r="BI29" s="35">
        <v>54.27886</v>
      </c>
      <c r="BJ29" s="35">
        <v>88.32593</v>
      </c>
      <c r="BK29" s="35">
        <v>79.23907</v>
      </c>
      <c r="BL29" s="35">
        <v>58.887</v>
      </c>
      <c r="BM29" s="35">
        <v>121.8095</v>
      </c>
      <c r="BN29" s="35">
        <v>54.41022</v>
      </c>
      <c r="BO29" s="35">
        <v>132.7002</v>
      </c>
      <c r="BP29" s="35">
        <v>96.06957</v>
      </c>
      <c r="BQ29" s="218"/>
      <c r="BR29" s="218"/>
      <c r="BS29" s="218"/>
    </row>
    <row r="30" ht="14.25" customHeight="1">
      <c r="A30" s="181" t="s">
        <v>150</v>
      </c>
      <c r="B30" s="182">
        <v>728.0</v>
      </c>
      <c r="C30" s="182" t="s">
        <v>176</v>
      </c>
      <c r="D30" s="182">
        <v>11.0</v>
      </c>
      <c r="E30" s="182">
        <v>7.0</v>
      </c>
      <c r="F30" s="182">
        <v>10.0</v>
      </c>
      <c r="G30" s="182">
        <v>17.0</v>
      </c>
      <c r="H30" s="331">
        <v>12.08665</v>
      </c>
      <c r="I30" s="331">
        <v>10.79146</v>
      </c>
      <c r="J30" s="331">
        <v>17.35701</v>
      </c>
      <c r="K30" s="196">
        <v>9.092954</v>
      </c>
      <c r="L30" s="196">
        <v>9.279651</v>
      </c>
      <c r="M30" s="196">
        <v>7.77</v>
      </c>
      <c r="N30" s="196">
        <v>8.423095</v>
      </c>
      <c r="O30" s="196">
        <v>19.5</v>
      </c>
      <c r="P30" s="196">
        <v>13.68598</v>
      </c>
      <c r="Q30" s="196">
        <v>23.70198</v>
      </c>
      <c r="R30" s="196">
        <v>9.0</v>
      </c>
      <c r="S30" s="196">
        <v>0.0</v>
      </c>
      <c r="T30" s="183">
        <v>2718.0</v>
      </c>
      <c r="U30" s="35">
        <v>114.0</v>
      </c>
      <c r="V30" s="35">
        <v>67.0</v>
      </c>
      <c r="W30" s="36">
        <f t="shared" si="1"/>
        <v>47</v>
      </c>
      <c r="X30" s="35">
        <v>2525.0</v>
      </c>
      <c r="Y30" s="35">
        <v>2071.0</v>
      </c>
      <c r="Z30" s="36">
        <f t="shared" si="2"/>
        <v>454</v>
      </c>
      <c r="AA30" s="35">
        <v>37.0</v>
      </c>
      <c r="AB30" s="35">
        <v>36.0</v>
      </c>
      <c r="AC30" s="185">
        <v>1.0</v>
      </c>
      <c r="AD30" s="226">
        <v>34.0</v>
      </c>
      <c r="AE30" s="185">
        <v>2.0</v>
      </c>
      <c r="AF30" s="185">
        <v>1.0</v>
      </c>
      <c r="AG30" s="35">
        <f t="shared" si="3"/>
        <v>76</v>
      </c>
      <c r="AH30" s="35">
        <v>31.0</v>
      </c>
      <c r="AI30" s="35">
        <v>45.0</v>
      </c>
      <c r="AJ30" s="35">
        <v>0.0</v>
      </c>
      <c r="AK30" s="35">
        <v>0.0</v>
      </c>
      <c r="AL30" s="35">
        <v>0.0</v>
      </c>
      <c r="AM30" s="35">
        <v>1877.0</v>
      </c>
      <c r="AN30" s="35">
        <v>1670.0</v>
      </c>
      <c r="AO30" s="35">
        <v>207.0</v>
      </c>
      <c r="AP30" s="332">
        <v>627.0</v>
      </c>
      <c r="AQ30" s="35">
        <v>384.0</v>
      </c>
      <c r="AR30" s="35">
        <f t="shared" si="4"/>
        <v>243</v>
      </c>
      <c r="AS30" s="35">
        <v>0.0</v>
      </c>
      <c r="AT30" s="35">
        <v>40.0</v>
      </c>
      <c r="AU30" s="35">
        <v>73.0</v>
      </c>
      <c r="AV30" s="35">
        <v>1.0</v>
      </c>
      <c r="AW30" s="35">
        <v>1856.0</v>
      </c>
      <c r="AX30" s="35">
        <v>473.0</v>
      </c>
      <c r="AY30" s="35">
        <v>196.0</v>
      </c>
      <c r="AZ30" s="35">
        <v>712.807</v>
      </c>
      <c r="BA30" s="35">
        <v>482.7612</v>
      </c>
      <c r="BB30" s="35">
        <v>1040.745</v>
      </c>
      <c r="BC30" s="35">
        <v>159.2432</v>
      </c>
      <c r="BD30" s="35">
        <v>978.5132</v>
      </c>
      <c r="BE30" s="35">
        <v>177.55</v>
      </c>
      <c r="BF30" s="35">
        <v>1010.548</v>
      </c>
      <c r="BG30" s="35">
        <v>388.0</v>
      </c>
      <c r="BH30" s="35">
        <v>124.8855</v>
      </c>
      <c r="BI30" s="35">
        <v>90.49541</v>
      </c>
      <c r="BJ30" s="35">
        <v>281.7621</v>
      </c>
      <c r="BK30" s="35">
        <v>163.2804</v>
      </c>
      <c r="BL30" s="35">
        <v>108.5005</v>
      </c>
      <c r="BM30" s="35">
        <v>386.2836</v>
      </c>
      <c r="BN30" s="35">
        <v>84.74678</v>
      </c>
      <c r="BO30" s="35">
        <v>361.2827</v>
      </c>
      <c r="BP30" s="226">
        <v>0.0</v>
      </c>
      <c r="BQ30" s="218"/>
      <c r="BR30" s="218"/>
      <c r="BS30" s="218"/>
    </row>
    <row r="31" ht="14.25" customHeight="1">
      <c r="A31" s="181" t="s">
        <v>153</v>
      </c>
      <c r="B31" s="182">
        <v>877.0</v>
      </c>
      <c r="C31" s="182" t="s">
        <v>177</v>
      </c>
      <c r="D31" s="182">
        <v>17.0</v>
      </c>
      <c r="E31" s="182">
        <v>15.0</v>
      </c>
      <c r="F31" s="182">
        <v>18.0</v>
      </c>
      <c r="G31" s="182">
        <v>35.0</v>
      </c>
      <c r="H31" s="331">
        <v>23.11361</v>
      </c>
      <c r="I31" s="331">
        <v>22.9295</v>
      </c>
      <c r="J31" s="331">
        <v>25.19116</v>
      </c>
      <c r="K31" s="196">
        <v>22.50662</v>
      </c>
      <c r="L31" s="196">
        <v>21.47157</v>
      </c>
      <c r="M31" s="196">
        <v>28.83</v>
      </c>
      <c r="N31" s="196">
        <v>29.80424</v>
      </c>
      <c r="O31" s="196">
        <v>16.29</v>
      </c>
      <c r="P31" s="196">
        <v>12.71373</v>
      </c>
      <c r="Q31" s="196">
        <v>22.62873</v>
      </c>
      <c r="R31" s="196">
        <v>24.48</v>
      </c>
      <c r="S31" s="196">
        <v>28.33</v>
      </c>
      <c r="T31" s="183">
        <v>62291.0</v>
      </c>
      <c r="U31" s="35">
        <v>8610.0</v>
      </c>
      <c r="V31" s="35">
        <v>7664.0</v>
      </c>
      <c r="W31" s="36">
        <f t="shared" si="1"/>
        <v>946</v>
      </c>
      <c r="X31" s="35">
        <v>48547.0</v>
      </c>
      <c r="Y31" s="35">
        <v>44799.0</v>
      </c>
      <c r="Z31" s="36">
        <f t="shared" si="2"/>
        <v>3748</v>
      </c>
      <c r="AA31" s="35">
        <v>5564.0</v>
      </c>
      <c r="AB31" s="35">
        <v>5021.0</v>
      </c>
      <c r="AC31" s="185">
        <v>543.0</v>
      </c>
      <c r="AD31" s="226">
        <v>3985.0</v>
      </c>
      <c r="AE31" s="185">
        <v>691.0</v>
      </c>
      <c r="AF31" s="185">
        <v>888.0</v>
      </c>
      <c r="AG31" s="35">
        <f t="shared" si="3"/>
        <v>497</v>
      </c>
      <c r="AH31" s="35">
        <v>361.0</v>
      </c>
      <c r="AI31" s="35">
        <v>136.0</v>
      </c>
      <c r="AJ31" s="35">
        <v>1343.0</v>
      </c>
      <c r="AK31" s="35">
        <v>1149.0</v>
      </c>
      <c r="AL31" s="35">
        <v>194.0</v>
      </c>
      <c r="AM31" s="35">
        <v>37376.0</v>
      </c>
      <c r="AN31" s="35">
        <v>35672.0</v>
      </c>
      <c r="AO31" s="35">
        <v>1704.0</v>
      </c>
      <c r="AP31" s="332">
        <v>5410.0</v>
      </c>
      <c r="AQ31" s="35">
        <v>3926.0</v>
      </c>
      <c r="AR31" s="35">
        <f t="shared" si="4"/>
        <v>1484</v>
      </c>
      <c r="AS31" s="35">
        <v>4085.0</v>
      </c>
      <c r="AT31" s="35">
        <v>5075.0</v>
      </c>
      <c r="AU31" s="35">
        <v>935.0</v>
      </c>
      <c r="AV31" s="35">
        <v>2600.0</v>
      </c>
      <c r="AW31" s="35">
        <v>39132.0</v>
      </c>
      <c r="AX31" s="35">
        <v>2455.0</v>
      </c>
      <c r="AY31" s="35">
        <v>6960.0</v>
      </c>
      <c r="AZ31" s="35">
        <v>251.8412</v>
      </c>
      <c r="BA31" s="35">
        <v>222.2396</v>
      </c>
      <c r="BB31" s="35">
        <v>491.6586</v>
      </c>
      <c r="BC31" s="35">
        <v>206.8851</v>
      </c>
      <c r="BD31" s="35">
        <v>509.8914</v>
      </c>
      <c r="BE31" s="35">
        <v>151.0449</v>
      </c>
      <c r="BF31" s="35">
        <v>572.0225</v>
      </c>
      <c r="BG31" s="35">
        <v>333.4458</v>
      </c>
      <c r="BH31" s="35">
        <v>92.07601</v>
      </c>
      <c r="BI31" s="35">
        <v>84.06458</v>
      </c>
      <c r="BJ31" s="35">
        <v>187.8348</v>
      </c>
      <c r="BK31" s="35">
        <v>121.637</v>
      </c>
      <c r="BL31" s="35">
        <v>109.4366</v>
      </c>
      <c r="BM31" s="35">
        <v>258.3056</v>
      </c>
      <c r="BN31" s="35">
        <v>100.935</v>
      </c>
      <c r="BO31" s="35">
        <v>222.9769</v>
      </c>
      <c r="BP31" s="35">
        <v>147.9079</v>
      </c>
      <c r="BQ31" s="218"/>
      <c r="BR31" s="218"/>
      <c r="BS31" s="218"/>
    </row>
    <row r="32" ht="14.25" customHeight="1">
      <c r="A32" s="181" t="s">
        <v>159</v>
      </c>
      <c r="B32" s="182">
        <v>897.0</v>
      </c>
      <c r="C32" s="182" t="s">
        <v>178</v>
      </c>
      <c r="D32" s="182">
        <v>18.0</v>
      </c>
      <c r="E32" s="182">
        <v>14.0</v>
      </c>
      <c r="F32" s="182">
        <v>10.0</v>
      </c>
      <c r="G32" s="182">
        <v>16.0</v>
      </c>
      <c r="H32" s="331">
        <v>18.79212</v>
      </c>
      <c r="I32" s="331">
        <v>17.82995</v>
      </c>
      <c r="J32" s="331">
        <v>19.90058</v>
      </c>
      <c r="K32" s="196">
        <v>19.74722</v>
      </c>
      <c r="L32" s="196">
        <v>19.89788</v>
      </c>
      <c r="M32" s="196">
        <v>20.47</v>
      </c>
      <c r="N32" s="196">
        <v>19.01287</v>
      </c>
      <c r="O32" s="196">
        <v>16.26</v>
      </c>
      <c r="P32" s="196">
        <v>11.97476</v>
      </c>
      <c r="Q32" s="196">
        <v>17.52067</v>
      </c>
      <c r="R32" s="196">
        <v>20.31</v>
      </c>
      <c r="S32" s="196">
        <v>0.0</v>
      </c>
      <c r="T32" s="183">
        <v>736.0</v>
      </c>
      <c r="U32" s="35">
        <v>50.0</v>
      </c>
      <c r="V32" s="218">
        <v>15.0</v>
      </c>
      <c r="W32" s="36">
        <f t="shared" si="1"/>
        <v>35</v>
      </c>
      <c r="X32" s="35">
        <v>653.0</v>
      </c>
      <c r="Y32" s="35">
        <v>361.0</v>
      </c>
      <c r="Z32" s="36">
        <f t="shared" si="2"/>
        <v>292</v>
      </c>
      <c r="AA32" s="35">
        <v>33.0</v>
      </c>
      <c r="AB32" s="35">
        <v>11.0</v>
      </c>
      <c r="AC32" s="185">
        <v>22.0</v>
      </c>
      <c r="AD32" s="226">
        <v>28.0</v>
      </c>
      <c r="AE32" s="185">
        <v>3.0</v>
      </c>
      <c r="AF32" s="185">
        <v>2.0</v>
      </c>
      <c r="AG32" s="35">
        <f t="shared" si="3"/>
        <v>9</v>
      </c>
      <c r="AH32" s="35">
        <v>3.0</v>
      </c>
      <c r="AI32" s="35">
        <v>6.0</v>
      </c>
      <c r="AJ32" s="35">
        <v>6.0</v>
      </c>
      <c r="AK32" s="35">
        <v>1.0</v>
      </c>
      <c r="AL32" s="35">
        <v>5.0</v>
      </c>
      <c r="AM32" s="35">
        <v>358.0</v>
      </c>
      <c r="AN32" s="35">
        <v>218.0</v>
      </c>
      <c r="AO32" s="35">
        <v>140.0</v>
      </c>
      <c r="AP32" s="332">
        <v>266.0</v>
      </c>
      <c r="AQ32" s="35">
        <v>135.0</v>
      </c>
      <c r="AR32" s="35">
        <f t="shared" si="4"/>
        <v>131</v>
      </c>
      <c r="AS32" s="35">
        <v>22.0</v>
      </c>
      <c r="AT32" s="35">
        <v>30.0</v>
      </c>
      <c r="AU32" s="35">
        <v>17.0</v>
      </c>
      <c r="AV32" s="35">
        <v>3.0</v>
      </c>
      <c r="AW32" s="35">
        <v>305.0</v>
      </c>
      <c r="AX32" s="35">
        <v>256.0</v>
      </c>
      <c r="AY32" s="35">
        <v>92.0</v>
      </c>
      <c r="AZ32" s="35">
        <v>753.74</v>
      </c>
      <c r="BA32" s="35">
        <v>414.6667</v>
      </c>
      <c r="BB32" s="35">
        <v>899.0571</v>
      </c>
      <c r="BC32" s="35">
        <v>381.8788</v>
      </c>
      <c r="BD32" s="35">
        <v>1746.889</v>
      </c>
      <c r="BE32" s="35">
        <v>336.7667</v>
      </c>
      <c r="BF32" s="35">
        <v>1502.471</v>
      </c>
      <c r="BG32" s="35">
        <v>0.0</v>
      </c>
      <c r="BH32" s="35">
        <v>296.2649</v>
      </c>
      <c r="BI32" s="35">
        <v>257.1551</v>
      </c>
      <c r="BJ32" s="35">
        <v>344.6164</v>
      </c>
      <c r="BK32" s="35">
        <v>347.2092</v>
      </c>
      <c r="BL32" s="35">
        <v>280.4569</v>
      </c>
      <c r="BM32" s="35">
        <v>424.1111</v>
      </c>
      <c r="BN32" s="35">
        <v>220.1335</v>
      </c>
      <c r="BO32" s="35">
        <v>476.7972</v>
      </c>
      <c r="BP32" s="35">
        <v>733.2727</v>
      </c>
      <c r="BQ32" s="218"/>
      <c r="BR32" s="218"/>
      <c r="BS32" s="218"/>
    </row>
    <row r="33" ht="14.25" customHeight="1">
      <c r="A33" s="181" t="s">
        <v>148</v>
      </c>
      <c r="B33" s="182">
        <v>928.0</v>
      </c>
      <c r="C33" s="182" t="s">
        <v>179</v>
      </c>
      <c r="D33" s="182">
        <v>25.0</v>
      </c>
      <c r="E33" s="182">
        <v>19.0</v>
      </c>
      <c r="F33" s="182">
        <v>10.0</v>
      </c>
      <c r="G33" s="182">
        <v>17.0</v>
      </c>
      <c r="H33" s="331">
        <v>25.98786</v>
      </c>
      <c r="I33" s="331">
        <v>25.94275</v>
      </c>
      <c r="J33" s="331">
        <v>26.15007</v>
      </c>
      <c r="K33" s="196">
        <v>28.18398</v>
      </c>
      <c r="L33" s="196">
        <v>32.64816</v>
      </c>
      <c r="M33" s="196">
        <v>34.36</v>
      </c>
      <c r="N33" s="196">
        <v>18.94422</v>
      </c>
      <c r="O33" s="196">
        <v>19.13</v>
      </c>
      <c r="P33" s="196">
        <v>15.83989</v>
      </c>
      <c r="Q33" s="196">
        <v>21.22877</v>
      </c>
      <c r="R33" s="196">
        <v>13.03</v>
      </c>
      <c r="S33" s="196">
        <v>44.96</v>
      </c>
      <c r="T33" s="183">
        <v>27701.0</v>
      </c>
      <c r="U33" s="35">
        <v>5087.0</v>
      </c>
      <c r="V33" s="35">
        <v>3957.0</v>
      </c>
      <c r="W33" s="36">
        <f t="shared" si="1"/>
        <v>1130</v>
      </c>
      <c r="X33" s="35">
        <v>19850.0</v>
      </c>
      <c r="Y33" s="35">
        <v>15589.0</v>
      </c>
      <c r="Z33" s="36">
        <f t="shared" si="2"/>
        <v>4261</v>
      </c>
      <c r="AA33" s="35">
        <v>4185.0</v>
      </c>
      <c r="AB33" s="35">
        <v>3634.0</v>
      </c>
      <c r="AC33" s="185">
        <v>551.0</v>
      </c>
      <c r="AD33" s="226">
        <v>3924.0</v>
      </c>
      <c r="AE33" s="185">
        <v>28.0</v>
      </c>
      <c r="AF33" s="185">
        <v>233.0</v>
      </c>
      <c r="AG33" s="35">
        <f t="shared" si="3"/>
        <v>624</v>
      </c>
      <c r="AH33" s="35">
        <v>283.0</v>
      </c>
      <c r="AI33" s="35">
        <v>341.0</v>
      </c>
      <c r="AJ33" s="35">
        <v>266.0</v>
      </c>
      <c r="AK33" s="35">
        <v>36.0</v>
      </c>
      <c r="AL33" s="35">
        <v>230.0</v>
      </c>
      <c r="AM33" s="35">
        <v>12767.0</v>
      </c>
      <c r="AN33" s="35">
        <v>11785.0</v>
      </c>
      <c r="AO33" s="35">
        <v>982.0</v>
      </c>
      <c r="AP33" s="332">
        <v>6871.0</v>
      </c>
      <c r="AQ33" s="35">
        <v>3721.0</v>
      </c>
      <c r="AR33" s="35">
        <f t="shared" si="4"/>
        <v>3150</v>
      </c>
      <c r="AS33" s="35">
        <v>138.0</v>
      </c>
      <c r="AT33" s="35">
        <v>4108.0</v>
      </c>
      <c r="AU33" s="35">
        <v>671.0</v>
      </c>
      <c r="AV33" s="35">
        <v>308.0</v>
      </c>
      <c r="AW33" s="35">
        <v>9534.0</v>
      </c>
      <c r="AX33" s="35">
        <v>4286.0</v>
      </c>
      <c r="AY33" s="35">
        <v>6030.0</v>
      </c>
      <c r="AZ33" s="35">
        <v>276.2473</v>
      </c>
      <c r="BA33" s="35">
        <v>184.6631</v>
      </c>
      <c r="BB33" s="35">
        <v>596.954</v>
      </c>
      <c r="BC33" s="35">
        <v>192.5556</v>
      </c>
      <c r="BD33" s="35">
        <v>734.9824</v>
      </c>
      <c r="BE33" s="35">
        <v>169.685</v>
      </c>
      <c r="BF33" s="35">
        <v>840.4903</v>
      </c>
      <c r="BG33" s="35">
        <v>680.6667</v>
      </c>
      <c r="BH33" s="35">
        <v>197.3628</v>
      </c>
      <c r="BI33" s="35">
        <v>161.5492</v>
      </c>
      <c r="BJ33" s="35">
        <v>328.3882</v>
      </c>
      <c r="BK33" s="35">
        <v>221.9234</v>
      </c>
      <c r="BL33" s="35">
        <v>170.6515</v>
      </c>
      <c r="BM33" s="35">
        <v>406.344</v>
      </c>
      <c r="BN33" s="35">
        <v>156.8007</v>
      </c>
      <c r="BO33" s="35">
        <v>359.037</v>
      </c>
      <c r="BP33" s="35">
        <v>425.8556</v>
      </c>
      <c r="BQ33" s="218"/>
      <c r="BR33" s="218"/>
      <c r="BS33" s="218"/>
    </row>
    <row r="34" ht="14.25" customHeight="1">
      <c r="A34" s="181" t="s">
        <v>155</v>
      </c>
      <c r="B34" s="182">
        <v>903.0</v>
      </c>
      <c r="C34" s="182" t="s">
        <v>180</v>
      </c>
      <c r="D34" s="182">
        <v>25.0</v>
      </c>
      <c r="E34" s="182">
        <v>13.0</v>
      </c>
      <c r="F34" s="182">
        <v>10.0</v>
      </c>
      <c r="G34" s="182">
        <v>18.0</v>
      </c>
      <c r="H34" s="331">
        <v>23.53519</v>
      </c>
      <c r="I34" s="331">
        <v>23.40962</v>
      </c>
      <c r="J34" s="331">
        <v>24.15295</v>
      </c>
      <c r="K34" s="196">
        <v>24.19156</v>
      </c>
      <c r="L34" s="196">
        <v>22.38183</v>
      </c>
      <c r="M34" s="196">
        <v>30.08</v>
      </c>
      <c r="N34" s="196">
        <v>27.61724</v>
      </c>
      <c r="O34" s="196">
        <v>21.76</v>
      </c>
      <c r="P34" s="196">
        <v>19.91237</v>
      </c>
      <c r="Q34" s="196">
        <v>24.13991</v>
      </c>
      <c r="R34" s="196">
        <v>18.84</v>
      </c>
      <c r="S34" s="196">
        <v>0.0</v>
      </c>
      <c r="T34" s="183">
        <v>106373.0</v>
      </c>
      <c r="U34" s="35">
        <v>15928.0</v>
      </c>
      <c r="V34" s="35">
        <v>12522.0</v>
      </c>
      <c r="W34" s="36">
        <f t="shared" si="1"/>
        <v>3406</v>
      </c>
      <c r="X34" s="35">
        <v>79223.0</v>
      </c>
      <c r="Y34" s="35">
        <v>66245.0</v>
      </c>
      <c r="Z34" s="36">
        <f t="shared" si="2"/>
        <v>12978</v>
      </c>
      <c r="AA34" s="35">
        <v>10194.0</v>
      </c>
      <c r="AB34" s="35">
        <v>9072.0</v>
      </c>
      <c r="AC34" s="185">
        <v>1122.0</v>
      </c>
      <c r="AD34" s="226">
        <v>5865.0</v>
      </c>
      <c r="AE34" s="185">
        <v>4206.0</v>
      </c>
      <c r="AF34" s="185">
        <v>123.0</v>
      </c>
      <c r="AG34" s="35">
        <f t="shared" si="3"/>
        <v>5124</v>
      </c>
      <c r="AH34" s="35">
        <v>3069.0</v>
      </c>
      <c r="AI34" s="35">
        <v>2055.0</v>
      </c>
      <c r="AJ34" s="35">
        <v>0.0</v>
      </c>
      <c r="AK34" s="35">
        <v>0.0</v>
      </c>
      <c r="AL34" s="35">
        <v>0.0</v>
      </c>
      <c r="AM34" s="35">
        <v>49324.0</v>
      </c>
      <c r="AN34" s="35">
        <v>47620.0</v>
      </c>
      <c r="AO34" s="35">
        <v>1704.0</v>
      </c>
      <c r="AP34" s="332">
        <v>26866.0</v>
      </c>
      <c r="AQ34" s="35">
        <v>16591.0</v>
      </c>
      <c r="AR34" s="35">
        <f t="shared" si="4"/>
        <v>10275</v>
      </c>
      <c r="AS34" s="35">
        <v>0.0</v>
      </c>
      <c r="AT34" s="35">
        <v>8617.0</v>
      </c>
      <c r="AU34" s="35">
        <v>7131.0</v>
      </c>
      <c r="AV34" s="35">
        <v>180.0</v>
      </c>
      <c r="AW34" s="35">
        <v>58652.0</v>
      </c>
      <c r="AX34" s="35">
        <v>19724.0</v>
      </c>
      <c r="AY34" s="35">
        <v>847.0</v>
      </c>
      <c r="AZ34" s="35">
        <v>332.5777</v>
      </c>
      <c r="BA34" s="35">
        <v>302.972</v>
      </c>
      <c r="BB34" s="35">
        <v>441.4213</v>
      </c>
      <c r="BC34" s="35">
        <v>288.5628</v>
      </c>
      <c r="BD34" s="35">
        <v>442.911</v>
      </c>
      <c r="BE34" s="35">
        <v>140.1099</v>
      </c>
      <c r="BF34" s="35">
        <v>562.319</v>
      </c>
      <c r="BG34" s="35">
        <v>468.2955</v>
      </c>
      <c r="BH34" s="35">
        <v>124.2216</v>
      </c>
      <c r="BI34" s="35">
        <v>112.6419</v>
      </c>
      <c r="BJ34" s="35">
        <v>183.3289</v>
      </c>
      <c r="BK34" s="35">
        <v>166.0902</v>
      </c>
      <c r="BL34" s="35">
        <v>148.8749</v>
      </c>
      <c r="BM34" s="35">
        <v>250.5482</v>
      </c>
      <c r="BN34" s="35">
        <v>146.8446</v>
      </c>
      <c r="BO34" s="35">
        <v>217.7953</v>
      </c>
      <c r="BP34" s="226">
        <v>0.0</v>
      </c>
      <c r="BQ34" s="218"/>
      <c r="BR34" s="218"/>
      <c r="BS34" s="218"/>
    </row>
    <row r="35" ht="14.25" customHeight="1">
      <c r="A35" s="181" t="s">
        <v>150</v>
      </c>
      <c r="B35" s="182">
        <v>751.0</v>
      </c>
      <c r="C35" s="182" t="s">
        <v>181</v>
      </c>
      <c r="D35" s="182">
        <v>6.0</v>
      </c>
      <c r="E35" s="182">
        <v>8.0</v>
      </c>
      <c r="F35" s="182">
        <v>8.0</v>
      </c>
      <c r="G35" s="182">
        <v>11.0</v>
      </c>
      <c r="H35" s="331">
        <v>8.624503</v>
      </c>
      <c r="I35" s="331">
        <v>8.00614</v>
      </c>
      <c r="J35" s="331">
        <v>14.64957</v>
      </c>
      <c r="K35" s="196">
        <v>6.859951</v>
      </c>
      <c r="L35" s="196">
        <v>5.714667</v>
      </c>
      <c r="M35" s="196">
        <v>9.98</v>
      </c>
      <c r="N35" s="196">
        <v>7.743108</v>
      </c>
      <c r="O35" s="196">
        <v>11.92</v>
      </c>
      <c r="P35" s="196">
        <v>11.42088</v>
      </c>
      <c r="Q35" s="196">
        <v>16.45366</v>
      </c>
      <c r="R35" s="196">
        <v>0.0</v>
      </c>
      <c r="S35" s="196">
        <v>12.79</v>
      </c>
      <c r="T35" s="183">
        <v>1259.0</v>
      </c>
      <c r="U35" s="35">
        <v>8.0</v>
      </c>
      <c r="V35" s="35">
        <v>6.0</v>
      </c>
      <c r="W35" s="36">
        <f t="shared" si="1"/>
        <v>2</v>
      </c>
      <c r="X35" s="35">
        <v>1245.0</v>
      </c>
      <c r="Y35" s="35">
        <v>1135.0</v>
      </c>
      <c r="Z35" s="36">
        <f t="shared" si="2"/>
        <v>110</v>
      </c>
      <c r="AA35" s="35">
        <v>2.0</v>
      </c>
      <c r="AB35" s="35">
        <v>2.0</v>
      </c>
      <c r="AC35" s="185">
        <v>0.0</v>
      </c>
      <c r="AD35" s="226">
        <v>2.0</v>
      </c>
      <c r="AE35" s="185">
        <v>0.0</v>
      </c>
      <c r="AF35" s="185">
        <v>0.0</v>
      </c>
      <c r="AG35" s="35">
        <f t="shared" si="3"/>
        <v>4</v>
      </c>
      <c r="AH35" s="35">
        <v>3.0</v>
      </c>
      <c r="AI35" s="35">
        <v>1.0</v>
      </c>
      <c r="AJ35" s="35">
        <v>0.0</v>
      </c>
      <c r="AK35" s="35">
        <v>0.0</v>
      </c>
      <c r="AL35" s="35">
        <v>0.0</v>
      </c>
      <c r="AM35" s="35">
        <v>776.0</v>
      </c>
      <c r="AN35" s="35">
        <v>750.0</v>
      </c>
      <c r="AO35" s="35">
        <v>26.0</v>
      </c>
      <c r="AP35" s="332">
        <v>369.0</v>
      </c>
      <c r="AQ35" s="35">
        <v>299.0</v>
      </c>
      <c r="AR35" s="35">
        <f t="shared" si="4"/>
        <v>70</v>
      </c>
      <c r="AS35" s="35">
        <v>19.0</v>
      </c>
      <c r="AT35" s="35">
        <v>6.0</v>
      </c>
      <c r="AU35" s="35">
        <v>2.0</v>
      </c>
      <c r="AV35" s="35">
        <v>0.0</v>
      </c>
      <c r="AW35" s="35">
        <v>981.0</v>
      </c>
      <c r="AX35" s="35">
        <v>250.0</v>
      </c>
      <c r="AY35" s="35">
        <v>14.0</v>
      </c>
      <c r="AZ35" s="35">
        <v>350.75</v>
      </c>
      <c r="BA35" s="35">
        <v>118.0</v>
      </c>
      <c r="BB35" s="35">
        <v>1049.0</v>
      </c>
      <c r="BC35" s="35">
        <v>47.5</v>
      </c>
      <c r="BD35" s="35">
        <v>650.25</v>
      </c>
      <c r="BE35" s="35">
        <v>101.1667</v>
      </c>
      <c r="BF35" s="35">
        <v>1099.5</v>
      </c>
      <c r="BG35" s="35">
        <v>444.85</v>
      </c>
      <c r="BH35" s="35">
        <v>105.3414</v>
      </c>
      <c r="BI35" s="35">
        <v>87.02467</v>
      </c>
      <c r="BJ35" s="35">
        <v>294.3364</v>
      </c>
      <c r="BK35" s="35">
        <v>107.9929</v>
      </c>
      <c r="BL35" s="35">
        <v>87.16375</v>
      </c>
      <c r="BM35" s="35">
        <v>311.2991</v>
      </c>
      <c r="BN35" s="35">
        <v>102.2619</v>
      </c>
      <c r="BO35" s="35">
        <v>126.5452</v>
      </c>
      <c r="BP35" s="35">
        <v>209.0</v>
      </c>
      <c r="BQ35" s="218"/>
      <c r="BR35" s="218"/>
      <c r="BS35" s="218"/>
    </row>
    <row r="36" ht="14.25" customHeight="1">
      <c r="A36" s="181" t="s">
        <v>148</v>
      </c>
      <c r="B36" s="182">
        <v>855.0</v>
      </c>
      <c r="C36" s="182" t="s">
        <v>182</v>
      </c>
      <c r="D36" s="182">
        <v>19.0</v>
      </c>
      <c r="E36" s="182">
        <v>14.0</v>
      </c>
      <c r="F36" s="182">
        <v>12.0</v>
      </c>
      <c r="G36" s="182">
        <v>21.0</v>
      </c>
      <c r="H36" s="331">
        <v>21.18156</v>
      </c>
      <c r="I36" s="331">
        <v>20.84481</v>
      </c>
      <c r="J36" s="331">
        <v>22.11241</v>
      </c>
      <c r="K36" s="196">
        <v>21.53367</v>
      </c>
      <c r="L36" s="196">
        <v>21.49779</v>
      </c>
      <c r="M36" s="196">
        <v>33.27</v>
      </c>
      <c r="N36" s="196">
        <v>21.42852</v>
      </c>
      <c r="O36" s="196">
        <v>18.31</v>
      </c>
      <c r="P36" s="196">
        <v>15.09162</v>
      </c>
      <c r="Q36" s="196">
        <v>21.77773</v>
      </c>
      <c r="R36" s="196">
        <v>16.77</v>
      </c>
      <c r="S36" s="196">
        <v>32.62</v>
      </c>
      <c r="T36" s="183">
        <v>58801.0</v>
      </c>
      <c r="U36" s="35">
        <v>5812.0</v>
      </c>
      <c r="V36" s="35">
        <v>3728.0</v>
      </c>
      <c r="W36" s="36">
        <f t="shared" si="1"/>
        <v>2084</v>
      </c>
      <c r="X36" s="35">
        <v>48828.0</v>
      </c>
      <c r="Y36" s="35">
        <v>36446.0</v>
      </c>
      <c r="Z36" s="36">
        <f t="shared" si="2"/>
        <v>12382</v>
      </c>
      <c r="AA36" s="35">
        <v>3470.0</v>
      </c>
      <c r="AB36" s="35">
        <v>2539.0</v>
      </c>
      <c r="AC36" s="185">
        <v>931.0</v>
      </c>
      <c r="AD36" s="226">
        <v>3126.0</v>
      </c>
      <c r="AE36" s="185">
        <v>44.0</v>
      </c>
      <c r="AF36" s="185">
        <v>300.0</v>
      </c>
      <c r="AG36" s="35">
        <f t="shared" si="3"/>
        <v>776</v>
      </c>
      <c r="AH36" s="35">
        <v>351.0</v>
      </c>
      <c r="AI36" s="35">
        <v>425.0</v>
      </c>
      <c r="AJ36" s="35">
        <v>1315.0</v>
      </c>
      <c r="AK36" s="35">
        <v>633.0</v>
      </c>
      <c r="AL36" s="35">
        <v>682.0</v>
      </c>
      <c r="AM36" s="35">
        <v>29502.0</v>
      </c>
      <c r="AN36" s="35">
        <v>25619.0</v>
      </c>
      <c r="AO36" s="35">
        <v>3883.0</v>
      </c>
      <c r="AP36" s="332">
        <v>11140.0</v>
      </c>
      <c r="AQ36" s="35">
        <v>5567.0</v>
      </c>
      <c r="AR36" s="35">
        <f t="shared" si="4"/>
        <v>5573</v>
      </c>
      <c r="AS36" s="35">
        <v>6226.0</v>
      </c>
      <c r="AT36" s="35">
        <v>4195.0</v>
      </c>
      <c r="AU36" s="35">
        <v>660.0</v>
      </c>
      <c r="AV36" s="35">
        <v>957.0</v>
      </c>
      <c r="AW36" s="35">
        <v>36898.0</v>
      </c>
      <c r="AX36" s="35">
        <v>5197.0</v>
      </c>
      <c r="AY36" s="35">
        <v>6733.0</v>
      </c>
      <c r="AZ36" s="35">
        <v>452.2562</v>
      </c>
      <c r="BA36" s="35">
        <v>271.7154</v>
      </c>
      <c r="BB36" s="35">
        <v>775.2198</v>
      </c>
      <c r="BC36" s="35">
        <v>262.97</v>
      </c>
      <c r="BD36" s="35">
        <v>856.7848</v>
      </c>
      <c r="BE36" s="35">
        <v>215.7964</v>
      </c>
      <c r="BF36" s="35">
        <v>1198.406</v>
      </c>
      <c r="BG36" s="35">
        <v>974.1891</v>
      </c>
      <c r="BH36" s="35">
        <v>177.1697</v>
      </c>
      <c r="BI36" s="35">
        <v>135.2265</v>
      </c>
      <c r="BJ36" s="35">
        <v>300.6278</v>
      </c>
      <c r="BK36" s="35">
        <v>218.2097</v>
      </c>
      <c r="BL36" s="35">
        <v>155.6539</v>
      </c>
      <c r="BM36" s="35">
        <v>391.1284</v>
      </c>
      <c r="BN36" s="35">
        <v>142.2762</v>
      </c>
      <c r="BO36" s="35">
        <v>421.906</v>
      </c>
      <c r="BP36" s="35">
        <v>269.0568</v>
      </c>
      <c r="BQ36" s="218"/>
      <c r="BR36" s="218"/>
      <c r="BS36" s="218"/>
    </row>
    <row r="37" ht="14.25" customHeight="1">
      <c r="A37" s="181" t="s">
        <v>150</v>
      </c>
      <c r="B37" s="182">
        <v>754.0</v>
      </c>
      <c r="C37" s="182" t="s">
        <v>183</v>
      </c>
      <c r="D37" s="182">
        <v>20.0</v>
      </c>
      <c r="E37" s="182">
        <v>13.0</v>
      </c>
      <c r="F37" s="182">
        <v>9.0</v>
      </c>
      <c r="G37" s="182">
        <v>28.0</v>
      </c>
      <c r="H37" s="331">
        <v>22.0749</v>
      </c>
      <c r="I37" s="331">
        <v>21.20772</v>
      </c>
      <c r="J37" s="331">
        <v>23.76284</v>
      </c>
      <c r="K37" s="196">
        <v>23.24362</v>
      </c>
      <c r="L37" s="196">
        <v>23.77086</v>
      </c>
      <c r="M37" s="196">
        <v>37.16</v>
      </c>
      <c r="N37" s="196">
        <v>19.85448</v>
      </c>
      <c r="O37" s="196">
        <v>19.72</v>
      </c>
      <c r="P37" s="196">
        <v>15.77752</v>
      </c>
      <c r="Q37" s="196">
        <v>20.68552</v>
      </c>
      <c r="R37" s="196">
        <v>28.6</v>
      </c>
      <c r="S37" s="196">
        <v>22.74</v>
      </c>
      <c r="T37" s="183">
        <v>43083.0</v>
      </c>
      <c r="U37" s="35">
        <v>7228.0</v>
      </c>
      <c r="V37" s="35">
        <v>4270.0</v>
      </c>
      <c r="W37" s="36">
        <f t="shared" si="1"/>
        <v>2958</v>
      </c>
      <c r="X37" s="35">
        <v>32593.0</v>
      </c>
      <c r="Y37" s="35">
        <v>22099.0</v>
      </c>
      <c r="Z37" s="36">
        <f t="shared" si="2"/>
        <v>10494</v>
      </c>
      <c r="AA37" s="35">
        <v>4894.0</v>
      </c>
      <c r="AB37" s="35">
        <v>3574.0</v>
      </c>
      <c r="AC37" s="185">
        <v>1320.0</v>
      </c>
      <c r="AD37" s="226">
        <v>4152.0</v>
      </c>
      <c r="AE37" s="185">
        <v>234.0</v>
      </c>
      <c r="AF37" s="185">
        <v>508.0</v>
      </c>
      <c r="AG37" s="35">
        <f t="shared" si="3"/>
        <v>1632</v>
      </c>
      <c r="AH37" s="35">
        <v>289.0</v>
      </c>
      <c r="AI37" s="35">
        <v>1343.0</v>
      </c>
      <c r="AJ37" s="35">
        <v>213.0</v>
      </c>
      <c r="AK37" s="35">
        <v>16.0</v>
      </c>
      <c r="AL37" s="35">
        <v>197.0</v>
      </c>
      <c r="AM37" s="35">
        <v>20420.0</v>
      </c>
      <c r="AN37" s="35">
        <v>17634.0</v>
      </c>
      <c r="AO37" s="35">
        <v>2786.0</v>
      </c>
      <c r="AP37" s="332">
        <v>9901.0</v>
      </c>
      <c r="AQ37" s="35">
        <v>2820.0</v>
      </c>
      <c r="AR37" s="35">
        <f t="shared" si="4"/>
        <v>7081</v>
      </c>
      <c r="AS37" s="35">
        <v>436.0</v>
      </c>
      <c r="AT37" s="35">
        <v>5049.0</v>
      </c>
      <c r="AU37" s="35">
        <v>1092.0</v>
      </c>
      <c r="AV37" s="35">
        <v>1087.0</v>
      </c>
      <c r="AW37" s="35">
        <v>21050.0</v>
      </c>
      <c r="AX37" s="35">
        <v>5567.0</v>
      </c>
      <c r="AY37" s="35">
        <v>5976.0</v>
      </c>
      <c r="AZ37" s="35">
        <v>247.3455</v>
      </c>
      <c r="BA37" s="35">
        <v>152.1904</v>
      </c>
      <c r="BB37" s="35">
        <v>384.7059</v>
      </c>
      <c r="BC37" s="35">
        <v>180.6126</v>
      </c>
      <c r="BD37" s="35">
        <v>448.6777</v>
      </c>
      <c r="BE37" s="35">
        <v>111.1468</v>
      </c>
      <c r="BF37" s="35">
        <v>541.9212</v>
      </c>
      <c r="BG37" s="35">
        <v>584.0432</v>
      </c>
      <c r="BH37" s="35">
        <v>135.0593</v>
      </c>
      <c r="BI37" s="35">
        <v>88.132</v>
      </c>
      <c r="BJ37" s="35">
        <v>233.8822</v>
      </c>
      <c r="BK37" s="35">
        <v>160.5097</v>
      </c>
      <c r="BL37" s="35">
        <v>102.8494</v>
      </c>
      <c r="BM37" s="35">
        <v>273.7478</v>
      </c>
      <c r="BN37" s="35">
        <v>107.511</v>
      </c>
      <c r="BO37" s="35">
        <v>288.2259</v>
      </c>
      <c r="BP37" s="35">
        <v>129.43</v>
      </c>
      <c r="BQ37" s="218"/>
      <c r="BR37" s="218"/>
      <c r="BS37" s="218"/>
    </row>
    <row r="38" ht="14.25" customHeight="1">
      <c r="A38" s="181" t="s">
        <v>148</v>
      </c>
      <c r="B38" s="182">
        <v>834.0</v>
      </c>
      <c r="C38" s="182" t="s">
        <v>184</v>
      </c>
      <c r="D38" s="182">
        <v>18.0</v>
      </c>
      <c r="E38" s="182">
        <v>19.0</v>
      </c>
      <c r="F38" s="182">
        <v>13.0</v>
      </c>
      <c r="G38" s="182">
        <v>15.0</v>
      </c>
      <c r="H38" s="331">
        <v>16.35316</v>
      </c>
      <c r="I38" s="331">
        <v>16.06762</v>
      </c>
      <c r="J38" s="331">
        <v>19.56716</v>
      </c>
      <c r="K38" s="196">
        <v>16.1965</v>
      </c>
      <c r="L38" s="196">
        <v>14.16763</v>
      </c>
      <c r="M38" s="196">
        <v>22.84</v>
      </c>
      <c r="N38" s="196">
        <v>23.39226</v>
      </c>
      <c r="O38" s="196">
        <v>16.3</v>
      </c>
      <c r="P38" s="196">
        <v>13.27114</v>
      </c>
      <c r="Q38" s="196">
        <v>21.69131</v>
      </c>
      <c r="R38" s="196">
        <v>9.7</v>
      </c>
      <c r="S38" s="196">
        <v>17.98</v>
      </c>
      <c r="T38" s="183">
        <v>4929.0</v>
      </c>
      <c r="U38" s="35">
        <v>308.0</v>
      </c>
      <c r="V38" s="35">
        <v>272.0</v>
      </c>
      <c r="W38" s="36">
        <f t="shared" si="1"/>
        <v>36</v>
      </c>
      <c r="X38" s="35">
        <v>4374.0</v>
      </c>
      <c r="Y38" s="35">
        <v>4029.0</v>
      </c>
      <c r="Z38" s="36">
        <f t="shared" si="2"/>
        <v>345</v>
      </c>
      <c r="AA38" s="35">
        <v>275.0</v>
      </c>
      <c r="AB38" s="35">
        <v>248.0</v>
      </c>
      <c r="AC38" s="185">
        <v>27.0</v>
      </c>
      <c r="AD38" s="226">
        <v>162.0</v>
      </c>
      <c r="AE38" s="185">
        <v>110.0</v>
      </c>
      <c r="AF38" s="185">
        <v>3.0</v>
      </c>
      <c r="AG38" s="35">
        <f t="shared" si="3"/>
        <v>9</v>
      </c>
      <c r="AH38" s="35">
        <v>6.0</v>
      </c>
      <c r="AI38" s="35">
        <v>3.0</v>
      </c>
      <c r="AJ38" s="35">
        <v>7.0</v>
      </c>
      <c r="AK38" s="35">
        <v>3.0</v>
      </c>
      <c r="AL38" s="35">
        <v>4.0</v>
      </c>
      <c r="AM38" s="35">
        <v>3750.0</v>
      </c>
      <c r="AN38" s="35">
        <v>3538.0</v>
      </c>
      <c r="AO38" s="35">
        <v>212.0</v>
      </c>
      <c r="AP38" s="332">
        <v>334.0</v>
      </c>
      <c r="AQ38" s="35">
        <v>262.0</v>
      </c>
      <c r="AR38" s="35">
        <f t="shared" si="4"/>
        <v>72</v>
      </c>
      <c r="AS38" s="35">
        <v>33.0</v>
      </c>
      <c r="AT38" s="35">
        <v>179.0</v>
      </c>
      <c r="AU38" s="35">
        <v>125.0</v>
      </c>
      <c r="AV38" s="35">
        <v>4.0</v>
      </c>
      <c r="AW38" s="35">
        <v>3428.0</v>
      </c>
      <c r="AX38" s="35">
        <v>886.0</v>
      </c>
      <c r="AY38" s="35">
        <v>60.0</v>
      </c>
      <c r="AZ38" s="35">
        <v>416.2955</v>
      </c>
      <c r="BA38" s="35">
        <v>317.4044</v>
      </c>
      <c r="BB38" s="35">
        <v>1163.472</v>
      </c>
      <c r="BC38" s="35">
        <v>365.1527</v>
      </c>
      <c r="BD38" s="35">
        <v>1869.111</v>
      </c>
      <c r="BE38" s="35">
        <v>125.9609</v>
      </c>
      <c r="BF38" s="35">
        <v>824.224</v>
      </c>
      <c r="BG38" s="35">
        <v>661.0</v>
      </c>
      <c r="BH38" s="35">
        <v>113.5588</v>
      </c>
      <c r="BI38" s="35">
        <v>97.34748</v>
      </c>
      <c r="BJ38" s="35">
        <v>302.8783</v>
      </c>
      <c r="BK38" s="35">
        <v>144.829</v>
      </c>
      <c r="BL38" s="35">
        <v>120.8257</v>
      </c>
      <c r="BM38" s="35">
        <v>415.1343</v>
      </c>
      <c r="BN38" s="35">
        <v>125.2253</v>
      </c>
      <c r="BO38" s="35">
        <v>355.4601</v>
      </c>
      <c r="BP38" s="35">
        <v>623.2326</v>
      </c>
      <c r="BQ38" s="218"/>
      <c r="BR38" s="218"/>
      <c r="BS38" s="218"/>
    </row>
    <row r="39" ht="14.25" customHeight="1">
      <c r="A39" s="181" t="s">
        <v>159</v>
      </c>
      <c r="B39" s="182">
        <v>851.0</v>
      </c>
      <c r="C39" s="182" t="s">
        <v>185</v>
      </c>
      <c r="D39" s="182">
        <v>28.0</v>
      </c>
      <c r="E39" s="182">
        <v>25.0</v>
      </c>
      <c r="F39" s="182">
        <v>26.0</v>
      </c>
      <c r="G39" s="182">
        <v>38.0</v>
      </c>
      <c r="H39" s="331">
        <v>32.46302</v>
      </c>
      <c r="I39" s="331">
        <v>32.18527</v>
      </c>
      <c r="J39" s="331">
        <v>34.13038</v>
      </c>
      <c r="K39" s="196">
        <v>31.58046</v>
      </c>
      <c r="L39" s="196">
        <v>30.34153</v>
      </c>
      <c r="M39" s="196">
        <v>58.19</v>
      </c>
      <c r="N39" s="196">
        <v>37.22286</v>
      </c>
      <c r="O39" s="196">
        <v>32.05</v>
      </c>
      <c r="P39" s="196">
        <v>29.72556</v>
      </c>
      <c r="Q39" s="196">
        <v>37.22459</v>
      </c>
      <c r="R39" s="196">
        <v>35.43</v>
      </c>
      <c r="S39" s="196">
        <v>54.91</v>
      </c>
      <c r="T39" s="183">
        <v>258054.0</v>
      </c>
      <c r="U39" s="35">
        <v>79515.0</v>
      </c>
      <c r="V39" s="35">
        <v>67343.0</v>
      </c>
      <c r="W39" s="36">
        <f t="shared" si="1"/>
        <v>12172</v>
      </c>
      <c r="X39" s="35">
        <v>151384.0</v>
      </c>
      <c r="Y39" s="35">
        <v>129757.0</v>
      </c>
      <c r="Z39" s="36">
        <f t="shared" si="2"/>
        <v>21627</v>
      </c>
      <c r="AA39" s="35">
        <v>40571.0</v>
      </c>
      <c r="AB39" s="35">
        <v>37373.0</v>
      </c>
      <c r="AC39" s="185">
        <v>3198.0</v>
      </c>
      <c r="AD39" s="226">
        <v>31137.0</v>
      </c>
      <c r="AE39" s="185">
        <v>62.0</v>
      </c>
      <c r="AF39" s="185">
        <v>9372.0</v>
      </c>
      <c r="AG39" s="35">
        <f t="shared" si="3"/>
        <v>29464</v>
      </c>
      <c r="AH39" s="35">
        <v>22733.0</v>
      </c>
      <c r="AI39" s="35">
        <v>6731.0</v>
      </c>
      <c r="AJ39" s="35">
        <v>5252.0</v>
      </c>
      <c r="AK39" s="35">
        <v>3962.0</v>
      </c>
      <c r="AL39" s="35">
        <v>1290.0</v>
      </c>
      <c r="AM39" s="35">
        <v>78903.0</v>
      </c>
      <c r="AN39" s="35">
        <v>77107.0</v>
      </c>
      <c r="AO39" s="35">
        <v>1796.0</v>
      </c>
      <c r="AP39" s="332">
        <v>60254.0</v>
      </c>
      <c r="AQ39" s="35">
        <v>44016.0</v>
      </c>
      <c r="AR39" s="35">
        <f t="shared" si="4"/>
        <v>16238</v>
      </c>
      <c r="AS39" s="35">
        <v>2156.0</v>
      </c>
      <c r="AT39" s="35">
        <v>50413.0</v>
      </c>
      <c r="AU39" s="35">
        <v>3310.0</v>
      </c>
      <c r="AV39" s="35">
        <v>25792.0</v>
      </c>
      <c r="AW39" s="35">
        <v>113621.0</v>
      </c>
      <c r="AX39" s="35">
        <v>4475.0</v>
      </c>
      <c r="AY39" s="35">
        <v>33288.0</v>
      </c>
      <c r="AZ39" s="35">
        <v>311.2326</v>
      </c>
      <c r="BA39" s="35">
        <v>293.0591</v>
      </c>
      <c r="BB39" s="35">
        <v>411.78</v>
      </c>
      <c r="BC39" s="35">
        <v>206.1118</v>
      </c>
      <c r="BD39" s="35">
        <v>377.4673</v>
      </c>
      <c r="BE39" s="35">
        <v>227.1328</v>
      </c>
      <c r="BF39" s="35">
        <v>786.858</v>
      </c>
      <c r="BG39" s="35">
        <v>414.5749</v>
      </c>
      <c r="BH39" s="35">
        <v>114.2695</v>
      </c>
      <c r="BI39" s="35">
        <v>108.4908</v>
      </c>
      <c r="BJ39" s="35">
        <v>148.9406</v>
      </c>
      <c r="BK39" s="35">
        <v>182.8355</v>
      </c>
      <c r="BL39" s="35">
        <v>172.0779</v>
      </c>
      <c r="BM39" s="35">
        <v>247.2343</v>
      </c>
      <c r="BN39" s="35">
        <v>137.5281</v>
      </c>
      <c r="BO39" s="35">
        <v>215.6822</v>
      </c>
      <c r="BP39" s="35">
        <v>602.347</v>
      </c>
      <c r="BQ39" s="218"/>
      <c r="BR39" s="218"/>
      <c r="BS39" s="218"/>
    </row>
    <row r="40" ht="14.25" customHeight="1">
      <c r="A40" s="181" t="s">
        <v>159</v>
      </c>
      <c r="B40" s="182">
        <v>719.0</v>
      </c>
      <c r="C40" s="182" t="s">
        <v>186</v>
      </c>
      <c r="D40" s="182">
        <v>18.0</v>
      </c>
      <c r="E40" s="182">
        <v>16.0</v>
      </c>
      <c r="F40" s="182">
        <v>11.0</v>
      </c>
      <c r="G40" s="182">
        <v>16.0</v>
      </c>
      <c r="H40" s="331">
        <v>16.98646</v>
      </c>
      <c r="I40" s="331">
        <v>15.77687</v>
      </c>
      <c r="J40" s="331">
        <v>23.40876</v>
      </c>
      <c r="K40" s="196">
        <v>15.02115</v>
      </c>
      <c r="L40" s="196">
        <v>15.40169</v>
      </c>
      <c r="M40" s="196">
        <v>21.0</v>
      </c>
      <c r="N40" s="229">
        <v>14.12047</v>
      </c>
      <c r="O40" s="196">
        <v>19.8</v>
      </c>
      <c r="P40" s="196">
        <v>18.0487</v>
      </c>
      <c r="Q40" s="196">
        <v>26.55687</v>
      </c>
      <c r="R40" s="196">
        <v>21.49</v>
      </c>
      <c r="S40" s="196">
        <v>25.53</v>
      </c>
      <c r="T40" s="183">
        <v>22815.0</v>
      </c>
      <c r="U40" s="35">
        <v>1959.0</v>
      </c>
      <c r="V40" s="35">
        <v>1397.0</v>
      </c>
      <c r="W40" s="36">
        <f t="shared" si="1"/>
        <v>562</v>
      </c>
      <c r="X40" s="35">
        <v>19852.0</v>
      </c>
      <c r="Y40" s="35">
        <v>17060.0</v>
      </c>
      <c r="Z40" s="36">
        <f t="shared" si="2"/>
        <v>2792</v>
      </c>
      <c r="AA40" s="35">
        <v>1144.0</v>
      </c>
      <c r="AB40" s="35">
        <v>937.0</v>
      </c>
      <c r="AC40" s="185">
        <v>207.0</v>
      </c>
      <c r="AD40" s="226">
        <v>843.0</v>
      </c>
      <c r="AE40" s="185">
        <v>1.0</v>
      </c>
      <c r="AF40" s="185">
        <v>300.0</v>
      </c>
      <c r="AG40" s="35">
        <f t="shared" si="3"/>
        <v>480</v>
      </c>
      <c r="AH40" s="35">
        <v>249.0</v>
      </c>
      <c r="AI40" s="35">
        <v>231.0</v>
      </c>
      <c r="AJ40" s="35">
        <v>145.0</v>
      </c>
      <c r="AK40" s="35">
        <v>75.0</v>
      </c>
      <c r="AL40" s="35">
        <v>70.0</v>
      </c>
      <c r="AM40" s="35">
        <v>14573.0</v>
      </c>
      <c r="AN40" s="35">
        <v>13841.0</v>
      </c>
      <c r="AO40" s="35">
        <v>732.0</v>
      </c>
      <c r="AP40" s="332">
        <v>4456.0</v>
      </c>
      <c r="AQ40" s="35">
        <v>2678.0</v>
      </c>
      <c r="AR40" s="35">
        <f t="shared" si="4"/>
        <v>1778</v>
      </c>
      <c r="AS40" s="35">
        <v>435.0</v>
      </c>
      <c r="AT40" s="35">
        <v>1252.0</v>
      </c>
      <c r="AU40" s="35">
        <v>178.0</v>
      </c>
      <c r="AV40" s="35">
        <v>529.0</v>
      </c>
      <c r="AW40" s="35">
        <v>13806.0</v>
      </c>
      <c r="AX40" s="35">
        <v>730.0</v>
      </c>
      <c r="AY40" s="35">
        <v>5316.0</v>
      </c>
      <c r="AZ40" s="35">
        <v>322.1848</v>
      </c>
      <c r="BA40" s="35">
        <v>246.1997</v>
      </c>
      <c r="BB40" s="35">
        <v>511.0658</v>
      </c>
      <c r="BC40" s="35">
        <v>181.3829</v>
      </c>
      <c r="BD40" s="35">
        <v>556.2958</v>
      </c>
      <c r="BE40" s="35">
        <v>190.1893</v>
      </c>
      <c r="BF40" s="35">
        <v>1032.938</v>
      </c>
      <c r="BG40" s="35">
        <v>395.4253</v>
      </c>
      <c r="BH40" s="35">
        <v>79.4053</v>
      </c>
      <c r="BI40" s="35">
        <v>60.19678</v>
      </c>
      <c r="BJ40" s="35">
        <v>196.7754</v>
      </c>
      <c r="BK40" s="229">
        <v>107.3822</v>
      </c>
      <c r="BL40" s="35">
        <v>78.71446</v>
      </c>
      <c r="BM40" s="35">
        <v>259.9435</v>
      </c>
      <c r="BN40" s="35">
        <v>56.43935</v>
      </c>
      <c r="BO40" s="35">
        <v>237.0744</v>
      </c>
      <c r="BP40" s="35">
        <v>257.9194</v>
      </c>
      <c r="BQ40" s="218"/>
      <c r="BR40" s="218"/>
      <c r="BS40" s="218"/>
    </row>
    <row r="41" ht="14.25" customHeight="1">
      <c r="A41" s="181" t="s">
        <v>153</v>
      </c>
      <c r="B41" s="182">
        <v>866.0</v>
      </c>
      <c r="C41" s="182" t="s">
        <v>187</v>
      </c>
      <c r="D41" s="182">
        <v>26.0</v>
      </c>
      <c r="E41" s="182">
        <v>28.0</v>
      </c>
      <c r="F41" s="182">
        <v>16.0</v>
      </c>
      <c r="G41" s="182">
        <v>27.0</v>
      </c>
      <c r="H41" s="331">
        <v>28.17555</v>
      </c>
      <c r="I41" s="331">
        <v>28.43218</v>
      </c>
      <c r="J41" s="331">
        <v>26.39988</v>
      </c>
      <c r="K41" s="196">
        <v>28.73029</v>
      </c>
      <c r="L41" s="196">
        <v>25.78977</v>
      </c>
      <c r="M41" s="196">
        <v>54.79</v>
      </c>
      <c r="N41" s="229">
        <v>41.00175</v>
      </c>
      <c r="O41" s="196">
        <v>23.5</v>
      </c>
      <c r="P41" s="196">
        <v>19.81957</v>
      </c>
      <c r="Q41" s="196">
        <v>49.95911</v>
      </c>
      <c r="R41" s="196">
        <v>34.99</v>
      </c>
      <c r="S41" s="196">
        <v>33.92</v>
      </c>
      <c r="T41" s="183">
        <v>94744.0</v>
      </c>
      <c r="U41" s="35">
        <v>22389.0</v>
      </c>
      <c r="V41" s="35">
        <v>19770.0</v>
      </c>
      <c r="W41" s="36">
        <f t="shared" si="1"/>
        <v>2619</v>
      </c>
      <c r="X41" s="35">
        <v>62775.0</v>
      </c>
      <c r="Y41" s="35">
        <v>54146.0</v>
      </c>
      <c r="Z41" s="36">
        <f t="shared" si="2"/>
        <v>8629</v>
      </c>
      <c r="AA41" s="35">
        <v>20696.0</v>
      </c>
      <c r="AB41" s="35">
        <v>18601.0</v>
      </c>
      <c r="AC41" s="185">
        <v>2095.0</v>
      </c>
      <c r="AD41" s="226">
        <v>12611.0</v>
      </c>
      <c r="AE41" s="185">
        <v>132.0</v>
      </c>
      <c r="AF41" s="185">
        <v>7953.0</v>
      </c>
      <c r="AG41" s="35">
        <f t="shared" si="3"/>
        <v>1407</v>
      </c>
      <c r="AH41" s="35">
        <v>984.0</v>
      </c>
      <c r="AI41" s="35">
        <v>423.0</v>
      </c>
      <c r="AJ41" s="35">
        <v>32.0</v>
      </c>
      <c r="AK41" s="35">
        <v>6.0</v>
      </c>
      <c r="AL41" s="35">
        <v>26.0</v>
      </c>
      <c r="AM41" s="35">
        <v>53380.0</v>
      </c>
      <c r="AN41" s="35">
        <v>46323.0</v>
      </c>
      <c r="AO41" s="35">
        <v>7057.0</v>
      </c>
      <c r="AP41" s="332">
        <v>7928.0</v>
      </c>
      <c r="AQ41" s="35">
        <v>6657.0</v>
      </c>
      <c r="AR41" s="35">
        <f t="shared" si="4"/>
        <v>1271</v>
      </c>
      <c r="AS41" s="35">
        <v>50.0</v>
      </c>
      <c r="AT41" s="35">
        <v>13773.0</v>
      </c>
      <c r="AU41" s="35">
        <v>440.0</v>
      </c>
      <c r="AV41" s="35">
        <v>8176.0</v>
      </c>
      <c r="AW41" s="35">
        <v>54907.0</v>
      </c>
      <c r="AX41" s="35">
        <v>672.0</v>
      </c>
      <c r="AY41" s="35">
        <v>7196.0</v>
      </c>
      <c r="AZ41" s="35">
        <v>494.0527</v>
      </c>
      <c r="BA41" s="35">
        <v>464.9283</v>
      </c>
      <c r="BB41" s="35">
        <v>713.903</v>
      </c>
      <c r="BC41" s="35">
        <v>499.6195</v>
      </c>
      <c r="BD41" s="35">
        <v>424.7825</v>
      </c>
      <c r="BE41" s="35">
        <v>203.6105</v>
      </c>
      <c r="BF41" s="35">
        <v>1175.168</v>
      </c>
      <c r="BG41" s="35">
        <v>946.6662</v>
      </c>
      <c r="BH41" s="35">
        <v>90.22528</v>
      </c>
      <c r="BI41" s="35">
        <v>82.51634</v>
      </c>
      <c r="BJ41" s="35">
        <v>138.598</v>
      </c>
      <c r="BK41" s="229">
        <v>197.7262</v>
      </c>
      <c r="BL41" s="229">
        <v>185.056</v>
      </c>
      <c r="BM41" s="229">
        <v>283.5078</v>
      </c>
      <c r="BN41" s="35">
        <v>197.9179</v>
      </c>
      <c r="BO41" s="35">
        <v>198.5669</v>
      </c>
      <c r="BP41" s="35">
        <v>376.7045</v>
      </c>
      <c r="BQ41" s="218"/>
      <c r="BR41" s="218"/>
      <c r="BS41" s="218"/>
    </row>
    <row r="42" ht="14.25" customHeight="1">
      <c r="D42" s="226">
        <v>26.0</v>
      </c>
      <c r="E42" s="226">
        <v>19.0</v>
      </c>
      <c r="F42" s="226">
        <v>18.0</v>
      </c>
      <c r="G42" s="226">
        <v>27.0</v>
      </c>
      <c r="H42" s="226">
        <v>28.0</v>
      </c>
      <c r="I42" s="226">
        <v>28.0</v>
      </c>
      <c r="J42" s="226">
        <v>29.0</v>
      </c>
      <c r="K42" s="229">
        <v>28.14</v>
      </c>
      <c r="L42" s="229">
        <v>27.17783</v>
      </c>
      <c r="M42" s="229">
        <v>36.13</v>
      </c>
      <c r="N42" s="229">
        <v>31.73</v>
      </c>
      <c r="O42" s="229">
        <v>25.85</v>
      </c>
      <c r="P42" s="229">
        <v>23.52</v>
      </c>
      <c r="Q42" s="229">
        <v>26.72</v>
      </c>
      <c r="R42" s="229">
        <v>31.92</v>
      </c>
      <c r="S42" s="229">
        <v>33.61</v>
      </c>
      <c r="T42" s="125">
        <f t="shared" ref="T42:U42" si="5">SUM(T6:T41)</f>
        <v>1489115</v>
      </c>
      <c r="U42" s="125">
        <f t="shared" si="5"/>
        <v>352354</v>
      </c>
      <c r="V42" s="125">
        <f>SUM(V5:V41)</f>
        <v>286050</v>
      </c>
      <c r="W42" s="125">
        <f t="shared" si="1"/>
        <v>66304</v>
      </c>
      <c r="X42" s="125">
        <f t="shared" ref="X42:Y42" si="6">SUM(X5:X41)</f>
        <v>1004284</v>
      </c>
      <c r="Y42" s="125">
        <f t="shared" si="6"/>
        <v>835717</v>
      </c>
      <c r="Z42" s="125">
        <f t="shared" si="2"/>
        <v>168567</v>
      </c>
      <c r="AA42" s="125">
        <v>232101.0</v>
      </c>
      <c r="AB42" s="125">
        <v>208740.0</v>
      </c>
      <c r="AC42" s="228">
        <v>23361.0</v>
      </c>
      <c r="AD42" s="228">
        <f t="shared" ref="AD42:AF42" si="7">SUM(AD5:AD41)</f>
        <v>179488</v>
      </c>
      <c r="AE42" s="228">
        <f t="shared" si="7"/>
        <v>12612</v>
      </c>
      <c r="AF42" s="228">
        <f t="shared" si="7"/>
        <v>40001</v>
      </c>
      <c r="AG42" s="114">
        <f t="shared" si="3"/>
        <v>69669</v>
      </c>
      <c r="AH42" s="125">
        <f t="shared" ref="AH42:AI42" si="8">SUM(AH5:AH41)</f>
        <v>41007</v>
      </c>
      <c r="AI42" s="125">
        <f t="shared" si="8"/>
        <v>28662</v>
      </c>
      <c r="AJ42" s="125">
        <v>27308.0</v>
      </c>
      <c r="AK42" s="125">
        <v>16254.0</v>
      </c>
      <c r="AL42" s="114">
        <v>11054.0</v>
      </c>
      <c r="AM42" s="114">
        <v>652531.0</v>
      </c>
      <c r="AN42" s="125">
        <v>606129.0</v>
      </c>
      <c r="AO42" s="114">
        <v>46402.0</v>
      </c>
      <c r="AP42" s="333">
        <f t="shared" ref="AP42:AQ42" si="9">SUM(AP5:AP41)</f>
        <v>241251</v>
      </c>
      <c r="AQ42" s="125">
        <f t="shared" si="9"/>
        <v>148247</v>
      </c>
      <c r="AR42" s="114">
        <f t="shared" si="4"/>
        <v>93004</v>
      </c>
      <c r="AS42" s="114">
        <f t="shared" ref="AS42:AY42" si="10">SUM(AS5:AS41)</f>
        <v>45992</v>
      </c>
      <c r="AT42" s="125">
        <f t="shared" si="10"/>
        <v>239653</v>
      </c>
      <c r="AU42" s="125">
        <f t="shared" si="10"/>
        <v>37588</v>
      </c>
      <c r="AV42" s="125">
        <f t="shared" si="10"/>
        <v>75113</v>
      </c>
      <c r="AW42" s="125">
        <f t="shared" si="10"/>
        <v>761010</v>
      </c>
      <c r="AX42" s="125">
        <f t="shared" si="10"/>
        <v>85658</v>
      </c>
      <c r="AY42" s="125">
        <f t="shared" si="10"/>
        <v>153383</v>
      </c>
      <c r="AZ42" s="230">
        <v>337.0</v>
      </c>
      <c r="BA42" s="230">
        <v>289.0</v>
      </c>
      <c r="BB42" s="230">
        <v>544.0</v>
      </c>
      <c r="BC42" s="114">
        <v>140.0</v>
      </c>
      <c r="BD42" s="114">
        <v>467.0</v>
      </c>
      <c r="BE42" s="114">
        <v>221.74</v>
      </c>
      <c r="BF42" s="114">
        <v>754.92</v>
      </c>
      <c r="BG42" s="114">
        <v>493.81</v>
      </c>
      <c r="BH42" s="230">
        <v>114.0</v>
      </c>
      <c r="BI42" s="230">
        <v>97.0</v>
      </c>
      <c r="BJ42" s="230">
        <v>205.0</v>
      </c>
      <c r="BK42" s="334">
        <v>178.0</v>
      </c>
      <c r="BL42" s="334">
        <v>149.73</v>
      </c>
      <c r="BM42" s="334">
        <v>315.9</v>
      </c>
      <c r="BN42" s="334">
        <v>140.11</v>
      </c>
      <c r="BO42" s="334">
        <v>262.8</v>
      </c>
      <c r="BP42" s="334">
        <v>327.8</v>
      </c>
    </row>
    <row r="43" ht="14.25" customHeight="1">
      <c r="U43" s="247"/>
      <c r="V43" s="247"/>
      <c r="W43" s="247"/>
      <c r="X43" s="247"/>
      <c r="Y43" s="247"/>
      <c r="Z43" s="247"/>
      <c r="AA43" s="246">
        <f>AA42/U42</f>
        <v>0.6587153828</v>
      </c>
      <c r="AB43" s="246">
        <f>AB42/U42</f>
        <v>0.5924155821</v>
      </c>
      <c r="AC43" s="246">
        <f>AC42/U42</f>
        <v>0.06629980077</v>
      </c>
      <c r="AD43" s="246">
        <f>AD42/U42</f>
        <v>0.5093967998</v>
      </c>
      <c r="AE43" s="246">
        <f>AE42/U42</f>
        <v>0.03579354853</v>
      </c>
      <c r="AF43" s="246">
        <f>AF42/U42</f>
        <v>0.1135250345</v>
      </c>
      <c r="AG43" s="246">
        <f>AG42/U42</f>
        <v>0.1977244476</v>
      </c>
      <c r="AJ43" s="246">
        <f>AJ42/U42</f>
        <v>0.0775016035</v>
      </c>
      <c r="AL43" s="218"/>
      <c r="AM43" s="251">
        <f>AM42/X42</f>
        <v>0.6497474818</v>
      </c>
      <c r="AP43" s="251">
        <f>AP42/X42</f>
        <v>0.2402218894</v>
      </c>
      <c r="AR43" s="35"/>
      <c r="AS43" s="218"/>
      <c r="AZ43" s="247"/>
      <c r="BH43" s="247"/>
    </row>
    <row r="44" ht="14.25" customHeight="1"/>
    <row r="45" ht="14.25" customHeight="1">
      <c r="AA45" s="246">
        <f>AA42/'A.Table 1 - source'!B32</f>
        <v>0.2372517352</v>
      </c>
      <c r="AC45" s="2"/>
      <c r="AD45" s="2"/>
      <c r="AE45" s="2"/>
      <c r="AF45" s="2"/>
      <c r="AG45" s="335">
        <f>AG42/'A.Table 1 - source'!K41</f>
        <v>0.01967691216</v>
      </c>
      <c r="AH45" s="2"/>
      <c r="AI45" s="2"/>
      <c r="AJ45" s="2"/>
      <c r="AK45" s="2"/>
      <c r="AL45" s="2"/>
    </row>
    <row r="46" ht="14.25" customHeight="1"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ht="14.25" customHeight="1">
      <c r="AC47" s="2"/>
      <c r="AD47" s="2"/>
      <c r="AE47" s="2"/>
      <c r="AF47" s="2"/>
      <c r="AG47" s="2"/>
      <c r="AH47" s="2"/>
      <c r="AI47" s="2"/>
      <c r="AJ47" s="2"/>
      <c r="AK47" s="2"/>
      <c r="AL47" s="2"/>
      <c r="BR47" s="2" t="s">
        <v>232</v>
      </c>
    </row>
    <row r="48" ht="14.25" customHeight="1"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ht="14.25" customHeight="1"/>
    <row r="50" ht="14.25" customHeight="1"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50">
    <mergeCell ref="P4:P5"/>
    <mergeCell ref="Q4:Q5"/>
    <mergeCell ref="R4:R5"/>
    <mergeCell ref="S4:S5"/>
    <mergeCell ref="A3:A5"/>
    <mergeCell ref="B3:B5"/>
    <mergeCell ref="C3:C5"/>
    <mergeCell ref="D3:G3"/>
    <mergeCell ref="T3:T5"/>
    <mergeCell ref="U3:W4"/>
    <mergeCell ref="X3:Z4"/>
    <mergeCell ref="AA3:AL3"/>
    <mergeCell ref="AA4:AF4"/>
    <mergeCell ref="AG4:AI4"/>
    <mergeCell ref="AJ4:AL4"/>
    <mergeCell ref="H3:S3"/>
    <mergeCell ref="AM3:AS3"/>
    <mergeCell ref="AT3:AV3"/>
    <mergeCell ref="AW3:AY3"/>
    <mergeCell ref="AZ3:BG3"/>
    <mergeCell ref="BH3:BJ4"/>
    <mergeCell ref="BK3:BP4"/>
    <mergeCell ref="BF4:BF5"/>
    <mergeCell ref="BG4:BG5"/>
    <mergeCell ref="AY4:AY5"/>
    <mergeCell ref="AZ4:AZ5"/>
    <mergeCell ref="BA4:BA5"/>
    <mergeCell ref="BB4:BB5"/>
    <mergeCell ref="BC4:BC5"/>
    <mergeCell ref="BD4:BD5"/>
    <mergeCell ref="BE4:BE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M4:AO4"/>
    <mergeCell ref="AP4:AR4"/>
    <mergeCell ref="AT4:AT5"/>
    <mergeCell ref="AU4:AU5"/>
    <mergeCell ref="AV4:AV5"/>
    <mergeCell ref="AW4:AW5"/>
    <mergeCell ref="AX4:AX5"/>
  </mergeCells>
  <conditionalFormatting sqref="H6:S41">
    <cfRule type="cellIs" dxfId="1" priority="1" operator="greaterThan">
      <formula>35</formula>
    </cfRule>
  </conditionalFormatting>
  <conditionalFormatting sqref="H6:S41">
    <cfRule type="cellIs" dxfId="2" priority="2" operator="lessThan">
      <formula>30</formula>
    </cfRule>
  </conditionalFormatting>
  <conditionalFormatting sqref="G37">
    <cfRule type="cellIs" dxfId="3" priority="3" operator="between">
      <formula>30</formula>
      <formula>35</formula>
    </cfRule>
  </conditionalFormatting>
  <conditionalFormatting sqref="H6:S41">
    <cfRule type="cellIs" dxfId="3" priority="4" operator="between">
      <formula>30</formula>
      <formula>35</formula>
    </cfRule>
  </conditionalFormatting>
  <printOptions/>
  <pageMargins bottom="0.75" footer="0.0" header="0.0" left="0.7" right="0.7" top="0.75"/>
  <pageSetup orientation="portrait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4.0" topLeftCell="D5" activePane="bottomRight" state="frozen"/>
      <selection activeCell="D1" sqref="D1" pane="topRight"/>
      <selection activeCell="A5" sqref="A5" pane="bottomLeft"/>
      <selection activeCell="D5" sqref="D5" pane="bottomRight"/>
    </sheetView>
  </sheetViews>
  <sheetFormatPr customHeight="1" defaultColWidth="14.43" defaultRowHeight="15.0"/>
  <cols>
    <col customWidth="1" min="1" max="2" width="8.71"/>
    <col customWidth="1" min="3" max="3" width="26.29"/>
    <col customWidth="1" min="4" max="4" width="11.43"/>
    <col customWidth="1" min="5" max="5" width="8.71"/>
    <col customWidth="1" min="6" max="8" width="10.29"/>
    <col customWidth="1" min="9" max="9" width="11.29"/>
    <col customWidth="1" min="10" max="67" width="8.71"/>
    <col customWidth="1" min="68" max="68" width="12.14"/>
    <col customWidth="1" min="69" max="70" width="11.14"/>
    <col customWidth="1" min="71" max="73" width="15.14"/>
    <col customWidth="1" min="74" max="74" width="16.57"/>
    <col customWidth="1" min="75" max="77" width="11.14"/>
    <col customWidth="1" min="78" max="78" width="14.43"/>
    <col customWidth="1" min="79" max="79" width="14.86"/>
    <col customWidth="1" min="80" max="82" width="11.14"/>
  </cols>
  <sheetData>
    <row r="1" ht="14.25" customHeight="1">
      <c r="A1" s="137" t="s">
        <v>233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</row>
    <row r="2" ht="14.25" customHeight="1"/>
    <row r="3" ht="14.25" customHeight="1">
      <c r="A3" s="167" t="s">
        <v>110</v>
      </c>
      <c r="B3" s="167" t="s">
        <v>111</v>
      </c>
      <c r="C3" s="168" t="s">
        <v>112</v>
      </c>
      <c r="D3" s="336" t="s">
        <v>94</v>
      </c>
      <c r="E3" s="20"/>
      <c r="F3" s="20"/>
      <c r="G3" s="20"/>
      <c r="H3" s="21"/>
      <c r="I3" s="337" t="s">
        <v>234</v>
      </c>
      <c r="J3" s="20"/>
      <c r="K3" s="21"/>
      <c r="L3" s="338" t="s">
        <v>235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1"/>
      <c r="AL3" s="339"/>
      <c r="AM3" s="317" t="s">
        <v>236</v>
      </c>
      <c r="AN3" s="20"/>
      <c r="AO3" s="21"/>
      <c r="AP3" s="337" t="s">
        <v>237</v>
      </c>
      <c r="AQ3" s="20"/>
      <c r="AR3" s="21"/>
      <c r="AS3" s="317" t="s">
        <v>238</v>
      </c>
      <c r="AT3" s="20"/>
      <c r="AU3" s="21"/>
      <c r="AV3" s="337" t="s">
        <v>239</v>
      </c>
      <c r="AW3" s="20"/>
      <c r="AX3" s="21"/>
      <c r="AY3" s="337" t="s">
        <v>240</v>
      </c>
      <c r="AZ3" s="20"/>
      <c r="BA3" s="21"/>
      <c r="BB3" s="337" t="s">
        <v>241</v>
      </c>
      <c r="BC3" s="20"/>
      <c r="BD3" s="21"/>
      <c r="BE3" s="337" t="s">
        <v>242</v>
      </c>
      <c r="BF3" s="20"/>
      <c r="BG3" s="21"/>
      <c r="BH3" s="337" t="s">
        <v>243</v>
      </c>
      <c r="BI3" s="20"/>
      <c r="BJ3" s="21"/>
      <c r="BK3" s="340" t="s">
        <v>244</v>
      </c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1"/>
      <c r="BZ3" s="146" t="s">
        <v>245</v>
      </c>
      <c r="CA3" s="20"/>
      <c r="CB3" s="20"/>
      <c r="CC3" s="21"/>
      <c r="CD3" s="341"/>
    </row>
    <row r="4" ht="27.75" customHeight="1">
      <c r="A4" s="23"/>
      <c r="B4" s="23"/>
      <c r="C4" s="23"/>
      <c r="D4" s="342" t="s">
        <v>67</v>
      </c>
      <c r="E4" s="342" t="s">
        <v>68</v>
      </c>
      <c r="F4" s="342" t="s">
        <v>69</v>
      </c>
      <c r="G4" s="343" t="s">
        <v>246</v>
      </c>
      <c r="H4" s="343" t="s">
        <v>247</v>
      </c>
      <c r="I4" s="342" t="s">
        <v>67</v>
      </c>
      <c r="J4" s="342" t="s">
        <v>68</v>
      </c>
      <c r="K4" s="342" t="s">
        <v>69</v>
      </c>
      <c r="L4" s="342" t="s">
        <v>67</v>
      </c>
      <c r="M4" s="342" t="s">
        <v>248</v>
      </c>
      <c r="N4" s="342"/>
      <c r="O4" s="342" t="s">
        <v>249</v>
      </c>
      <c r="P4" s="342"/>
      <c r="Q4" s="342" t="s">
        <v>250</v>
      </c>
      <c r="R4" s="342"/>
      <c r="S4" s="342" t="s">
        <v>251</v>
      </c>
      <c r="T4" s="342"/>
      <c r="U4" s="342" t="s">
        <v>252</v>
      </c>
      <c r="V4" s="342" t="s">
        <v>253</v>
      </c>
      <c r="W4" s="343" t="s">
        <v>254</v>
      </c>
      <c r="X4" s="343"/>
      <c r="Y4" s="343" t="s">
        <v>255</v>
      </c>
      <c r="Z4" s="343"/>
      <c r="AA4" s="343" t="s">
        <v>256</v>
      </c>
      <c r="AB4" s="343"/>
      <c r="AC4" s="343" t="s">
        <v>257</v>
      </c>
      <c r="AD4" s="343"/>
      <c r="AE4" s="343" t="s">
        <v>258</v>
      </c>
      <c r="AF4" s="343"/>
      <c r="AG4" s="343" t="s">
        <v>259</v>
      </c>
      <c r="AH4" s="343"/>
      <c r="AI4" s="343" t="s">
        <v>260</v>
      </c>
      <c r="AJ4" s="343"/>
      <c r="AK4" s="343" t="s">
        <v>261</v>
      </c>
      <c r="AL4" s="344"/>
      <c r="AM4" s="343" t="s">
        <v>67</v>
      </c>
      <c r="AN4" s="343" t="s">
        <v>68</v>
      </c>
      <c r="AO4" s="343" t="s">
        <v>69</v>
      </c>
      <c r="AP4" s="342" t="s">
        <v>67</v>
      </c>
      <c r="AQ4" s="342" t="s">
        <v>68</v>
      </c>
      <c r="AR4" s="342" t="s">
        <v>69</v>
      </c>
      <c r="AS4" s="343" t="s">
        <v>67</v>
      </c>
      <c r="AT4" s="343" t="s">
        <v>68</v>
      </c>
      <c r="AU4" s="343" t="s">
        <v>69</v>
      </c>
      <c r="AV4" s="342" t="s">
        <v>67</v>
      </c>
      <c r="AW4" s="342" t="s">
        <v>68</v>
      </c>
      <c r="AX4" s="342" t="s">
        <v>69</v>
      </c>
      <c r="AY4" s="342" t="s">
        <v>67</v>
      </c>
      <c r="AZ4" s="342" t="s">
        <v>68</v>
      </c>
      <c r="BA4" s="342" t="s">
        <v>69</v>
      </c>
      <c r="BB4" s="342" t="s">
        <v>67</v>
      </c>
      <c r="BC4" s="342" t="s">
        <v>68</v>
      </c>
      <c r="BD4" s="342" t="s">
        <v>69</v>
      </c>
      <c r="BE4" s="342" t="s">
        <v>67</v>
      </c>
      <c r="BF4" s="342" t="s">
        <v>68</v>
      </c>
      <c r="BG4" s="342" t="s">
        <v>69</v>
      </c>
      <c r="BH4" s="342" t="s">
        <v>67</v>
      </c>
      <c r="BI4" s="342" t="s">
        <v>68</v>
      </c>
      <c r="BJ4" s="342" t="s">
        <v>69</v>
      </c>
      <c r="BK4" s="342" t="s">
        <v>67</v>
      </c>
      <c r="BL4" s="343" t="s">
        <v>262</v>
      </c>
      <c r="BM4" s="342" t="s">
        <v>68</v>
      </c>
      <c r="BN4" s="343" t="s">
        <v>263</v>
      </c>
      <c r="BO4" s="342" t="s">
        <v>69</v>
      </c>
      <c r="BP4" s="343" t="s">
        <v>38</v>
      </c>
      <c r="BQ4" s="343" t="s">
        <v>74</v>
      </c>
      <c r="BR4" s="343" t="s">
        <v>264</v>
      </c>
      <c r="BS4" s="345" t="s">
        <v>73</v>
      </c>
      <c r="BT4" s="345" t="s">
        <v>42</v>
      </c>
      <c r="BU4" s="345" t="s">
        <v>75</v>
      </c>
      <c r="BV4" s="345" t="s">
        <v>48</v>
      </c>
      <c r="BW4" s="343" t="s">
        <v>91</v>
      </c>
      <c r="BX4" s="343" t="s">
        <v>92</v>
      </c>
      <c r="BY4" s="345" t="s">
        <v>93</v>
      </c>
      <c r="BZ4" s="343" t="s">
        <v>265</v>
      </c>
      <c r="CA4" s="343" t="s">
        <v>266</v>
      </c>
      <c r="CB4" s="343" t="s">
        <v>267</v>
      </c>
      <c r="CC4" s="343" t="s">
        <v>268</v>
      </c>
      <c r="CD4" s="346"/>
    </row>
    <row r="5" ht="14.25" customHeight="1">
      <c r="A5" s="181" t="s">
        <v>146</v>
      </c>
      <c r="B5" s="182">
        <v>853.0</v>
      </c>
      <c r="C5" s="182" t="s">
        <v>147</v>
      </c>
      <c r="D5" s="183">
        <v>5281.0</v>
      </c>
      <c r="E5" s="183">
        <v>3595.0</v>
      </c>
      <c r="F5" s="183">
        <f t="shared" ref="F5:F40" si="1">D5-E5</f>
        <v>1686</v>
      </c>
      <c r="G5" s="185">
        <v>4043.0</v>
      </c>
      <c r="H5" s="35">
        <v>1029.0</v>
      </c>
      <c r="I5" s="183">
        <v>3476.0</v>
      </c>
      <c r="J5" s="183">
        <v>2288.0</v>
      </c>
      <c r="K5" s="183">
        <f t="shared" ref="K5:K40" si="2">I5-J5</f>
        <v>1188</v>
      </c>
      <c r="L5" s="183">
        <f t="shared" ref="L5:L41" si="3">SUM(M5:V5)</f>
        <v>5282</v>
      </c>
      <c r="M5" s="183">
        <f>2226+1109</f>
        <v>3335</v>
      </c>
      <c r="N5" s="274">
        <f t="shared" ref="N5:N41" si="4">M5/D5</f>
        <v>0.6315091839</v>
      </c>
      <c r="O5" s="183">
        <f>7+18</f>
        <v>25</v>
      </c>
      <c r="P5" s="274">
        <f t="shared" ref="P5:P41" si="5">O5/D5</f>
        <v>0.004733951903</v>
      </c>
      <c r="Q5" s="183">
        <f>237+138</f>
        <v>375</v>
      </c>
      <c r="R5" s="274">
        <f t="shared" ref="R5:R41" si="6">Q5/D5</f>
        <v>0.07100927855</v>
      </c>
      <c r="S5" s="183">
        <f>1006+540</f>
        <v>1546</v>
      </c>
      <c r="T5" s="274">
        <f t="shared" ref="T5:T41" si="7">S5/D5</f>
        <v>0.2927475857</v>
      </c>
      <c r="U5" s="183">
        <v>0.0</v>
      </c>
      <c r="V5" s="183">
        <v>0.0</v>
      </c>
      <c r="W5" s="30">
        <v>2522.0</v>
      </c>
      <c r="X5" s="347">
        <f t="shared" ref="X5:X41" si="8">W5/G5</f>
        <v>0.6237942122</v>
      </c>
      <c r="Y5" s="185">
        <v>3.0</v>
      </c>
      <c r="Z5" s="201">
        <f t="shared" ref="Z5:Z41" si="9">Y5/G5</f>
        <v>0.0007420232501</v>
      </c>
      <c r="AA5" s="185">
        <v>350.0</v>
      </c>
      <c r="AB5" s="201">
        <f t="shared" ref="AB5:AB41" si="10">AA5/G5</f>
        <v>0.08656937917</v>
      </c>
      <c r="AC5" s="185">
        <v>1168.0</v>
      </c>
      <c r="AD5" s="201">
        <f t="shared" ref="AD5:AD41" si="11">AC5/G5</f>
        <v>0.2888943854</v>
      </c>
      <c r="AE5" s="185">
        <v>697.0</v>
      </c>
      <c r="AF5" s="201">
        <f t="shared" ref="AF5:AF22" si="12">AE5/H5</f>
        <v>0.6773566569</v>
      </c>
      <c r="AG5" s="185">
        <v>0.0</v>
      </c>
      <c r="AH5" s="201">
        <f t="shared" ref="AH5:AH22" si="13">AG5/H5</f>
        <v>0</v>
      </c>
      <c r="AI5" s="185">
        <v>9.0</v>
      </c>
      <c r="AJ5" s="201">
        <f t="shared" ref="AJ5:AJ22" si="14">AI5/H5</f>
        <v>0.008746355685</v>
      </c>
      <c r="AK5" s="185">
        <v>323.0</v>
      </c>
      <c r="AL5" s="201">
        <f t="shared" ref="AL5:AL22" si="15">AK5/H5</f>
        <v>0.3138969874</v>
      </c>
      <c r="AM5" s="35">
        <v>1253.0</v>
      </c>
      <c r="AN5" s="35">
        <v>971.0</v>
      </c>
      <c r="AO5" s="183">
        <v>282.0</v>
      </c>
      <c r="AP5" s="183">
        <v>1729.0</v>
      </c>
      <c r="AQ5" s="183">
        <v>1127.0</v>
      </c>
      <c r="AR5" s="183">
        <f t="shared" ref="AR5:AR40" si="16">AP5-AQ5</f>
        <v>602</v>
      </c>
      <c r="AS5" s="35">
        <v>2299.0</v>
      </c>
      <c r="AT5" s="35">
        <v>1497.0</v>
      </c>
      <c r="AU5" s="183">
        <v>802.0</v>
      </c>
      <c r="AV5" s="183">
        <v>1516.0</v>
      </c>
      <c r="AW5" s="183">
        <v>1119.0</v>
      </c>
      <c r="AX5" s="183">
        <f t="shared" ref="AX5:AX40" si="17">AV5-AW5</f>
        <v>397</v>
      </c>
      <c r="AY5" s="183">
        <v>2492.0</v>
      </c>
      <c r="AZ5" s="183">
        <v>1580.0</v>
      </c>
      <c r="BA5" s="183">
        <f t="shared" ref="BA5:BA40" si="18">AY5-AZ5</f>
        <v>912</v>
      </c>
      <c r="BB5" s="183">
        <v>153.0</v>
      </c>
      <c r="BC5" s="183">
        <v>100.0</v>
      </c>
      <c r="BD5" s="183">
        <f t="shared" ref="BD5:BD40" si="19">BB5-BC5</f>
        <v>53</v>
      </c>
      <c r="BE5" s="183">
        <v>114.0</v>
      </c>
      <c r="BF5" s="183">
        <v>76.0</v>
      </c>
      <c r="BG5" s="183">
        <f t="shared" ref="BG5:BG40" si="20">BE5-BF5</f>
        <v>38</v>
      </c>
      <c r="BH5" s="183">
        <v>334.0</v>
      </c>
      <c r="BI5" s="183">
        <v>247.0</v>
      </c>
      <c r="BJ5" s="183">
        <f t="shared" ref="BJ5:BJ40" si="21">BH5-BI5</f>
        <v>87</v>
      </c>
      <c r="BK5" s="183">
        <v>0.0</v>
      </c>
      <c r="BL5" s="190">
        <f t="shared" ref="BL5:BL41" si="22">BK5/D5</f>
        <v>0</v>
      </c>
      <c r="BM5" s="183">
        <v>0.0</v>
      </c>
      <c r="BN5" s="201">
        <v>0.0</v>
      </c>
      <c r="BO5" s="183">
        <f t="shared" ref="BO5:BO40" si="23">BK5-BM5</f>
        <v>0</v>
      </c>
      <c r="BP5" s="35">
        <v>0.0</v>
      </c>
      <c r="BQ5" s="35">
        <v>0.0</v>
      </c>
      <c r="BR5" s="208">
        <v>0.0</v>
      </c>
      <c r="BS5" s="35">
        <v>0.0</v>
      </c>
      <c r="BT5" s="35">
        <v>0.0</v>
      </c>
      <c r="BU5" s="35">
        <v>0.0</v>
      </c>
      <c r="BV5" s="35">
        <v>0.0</v>
      </c>
      <c r="BW5" s="35">
        <v>0.0</v>
      </c>
      <c r="BX5" s="35">
        <v>0.0</v>
      </c>
      <c r="BY5" s="35">
        <v>0.0</v>
      </c>
      <c r="BZ5" s="226">
        <v>257.0</v>
      </c>
      <c r="CA5" s="226">
        <v>62.0</v>
      </c>
      <c r="CB5" s="226">
        <v>503.0</v>
      </c>
      <c r="CC5" s="226">
        <v>14.0</v>
      </c>
      <c r="CD5" s="218"/>
    </row>
    <row r="6" ht="14.25" customHeight="1">
      <c r="A6" s="181" t="s">
        <v>148</v>
      </c>
      <c r="B6" s="182">
        <v>902.0</v>
      </c>
      <c r="C6" s="182" t="s">
        <v>149</v>
      </c>
      <c r="D6" s="183">
        <v>320724.0</v>
      </c>
      <c r="E6" s="183">
        <v>226196.0</v>
      </c>
      <c r="F6" s="183">
        <f t="shared" si="1"/>
        <v>94528</v>
      </c>
      <c r="G6" s="185">
        <v>178805.0</v>
      </c>
      <c r="H6" s="35">
        <v>122464.0</v>
      </c>
      <c r="I6" s="183">
        <v>162047.0</v>
      </c>
      <c r="J6" s="183">
        <v>106031.0</v>
      </c>
      <c r="K6" s="183">
        <f t="shared" si="2"/>
        <v>56016</v>
      </c>
      <c r="L6" s="183">
        <f t="shared" si="3"/>
        <v>320725</v>
      </c>
      <c r="M6" s="183">
        <f>53520+46267</f>
        <v>99787</v>
      </c>
      <c r="N6" s="274">
        <f t="shared" si="4"/>
        <v>0.3111304424</v>
      </c>
      <c r="O6" s="183">
        <f>31394+28828</f>
        <v>60222</v>
      </c>
      <c r="P6" s="274">
        <f t="shared" si="5"/>
        <v>0.1877689228</v>
      </c>
      <c r="Q6" s="183">
        <f>7161+10319</f>
        <v>17480</v>
      </c>
      <c r="R6" s="274">
        <f t="shared" si="6"/>
        <v>0.05450168993</v>
      </c>
      <c r="S6" s="183">
        <f>69972+73263</f>
        <v>143235</v>
      </c>
      <c r="T6" s="274">
        <f t="shared" si="7"/>
        <v>0.4465989449</v>
      </c>
      <c r="U6" s="183">
        <v>0.0</v>
      </c>
      <c r="V6" s="183">
        <v>0.0</v>
      </c>
      <c r="W6" s="348">
        <v>51256.0</v>
      </c>
      <c r="X6" s="347">
        <f t="shared" si="8"/>
        <v>0.2866586505</v>
      </c>
      <c r="Y6" s="185">
        <v>33296.0</v>
      </c>
      <c r="Z6" s="201">
        <f t="shared" si="9"/>
        <v>0.186214032</v>
      </c>
      <c r="AA6" s="185">
        <v>10450.0</v>
      </c>
      <c r="AB6" s="201">
        <f t="shared" si="10"/>
        <v>0.05844355583</v>
      </c>
      <c r="AC6" s="185">
        <v>83803.0</v>
      </c>
      <c r="AD6" s="201">
        <f t="shared" si="11"/>
        <v>0.4686837616</v>
      </c>
      <c r="AE6" s="185">
        <v>43736.0</v>
      </c>
      <c r="AF6" s="201">
        <f t="shared" si="12"/>
        <v>0.357133525</v>
      </c>
      <c r="AG6" s="185">
        <v>23478.0</v>
      </c>
      <c r="AH6" s="201">
        <f t="shared" si="13"/>
        <v>0.1917134831</v>
      </c>
      <c r="AI6" s="185">
        <v>1014.0</v>
      </c>
      <c r="AJ6" s="201">
        <f t="shared" si="14"/>
        <v>0.008279984322</v>
      </c>
      <c r="AK6" s="185">
        <v>54236.0</v>
      </c>
      <c r="AL6" s="201">
        <f t="shared" si="15"/>
        <v>0.4428730076</v>
      </c>
      <c r="AM6" s="35">
        <v>27810.0</v>
      </c>
      <c r="AN6" s="35">
        <v>19466.0</v>
      </c>
      <c r="AO6" s="183">
        <v>8344.0</v>
      </c>
      <c r="AP6" s="183">
        <v>135433.0</v>
      </c>
      <c r="AQ6" s="183">
        <v>95542.0</v>
      </c>
      <c r="AR6" s="183">
        <f t="shared" si="16"/>
        <v>39891</v>
      </c>
      <c r="AS6" s="35">
        <v>157481.0</v>
      </c>
      <c r="AT6" s="35">
        <v>111188.0</v>
      </c>
      <c r="AU6" s="183">
        <v>46293.0</v>
      </c>
      <c r="AV6" s="183">
        <v>15831.0</v>
      </c>
      <c r="AW6" s="183">
        <v>11490.0</v>
      </c>
      <c r="AX6" s="183">
        <f t="shared" si="17"/>
        <v>4341</v>
      </c>
      <c r="AY6" s="183">
        <v>187153.0</v>
      </c>
      <c r="AZ6" s="183">
        <v>135611.0</v>
      </c>
      <c r="BA6" s="183">
        <f t="shared" si="18"/>
        <v>51542</v>
      </c>
      <c r="BB6" s="183">
        <v>55424.0</v>
      </c>
      <c r="BC6" s="183">
        <v>40241.0</v>
      </c>
      <c r="BD6" s="183">
        <f t="shared" si="19"/>
        <v>15183</v>
      </c>
      <c r="BE6" s="183">
        <v>14632.0</v>
      </c>
      <c r="BF6" s="183">
        <v>10297.0</v>
      </c>
      <c r="BG6" s="183">
        <f t="shared" si="20"/>
        <v>4335</v>
      </c>
      <c r="BH6" s="183">
        <v>16715.0</v>
      </c>
      <c r="BI6" s="183">
        <v>8588.0</v>
      </c>
      <c r="BJ6" s="183">
        <f t="shared" si="21"/>
        <v>8127</v>
      </c>
      <c r="BK6" s="183">
        <v>8397.0</v>
      </c>
      <c r="BL6" s="190">
        <f t="shared" si="22"/>
        <v>0.02618138961</v>
      </c>
      <c r="BM6" s="183">
        <v>3969.0</v>
      </c>
      <c r="BN6" s="274">
        <f t="shared" ref="BN6:BN12" si="24">BM6/BK6</f>
        <v>0.4726688103</v>
      </c>
      <c r="BO6" s="183">
        <f t="shared" si="23"/>
        <v>4428</v>
      </c>
      <c r="BP6" s="35">
        <v>2385.0</v>
      </c>
      <c r="BQ6" s="35">
        <v>5528.0</v>
      </c>
      <c r="BR6" s="208">
        <f t="shared" ref="BR6:BR12" si="25">BQ6/BK6</f>
        <v>0.6583303561</v>
      </c>
      <c r="BS6" s="35">
        <v>40.0</v>
      </c>
      <c r="BT6" s="35">
        <v>430.0</v>
      </c>
      <c r="BU6" s="35">
        <v>0.0</v>
      </c>
      <c r="BV6" s="35">
        <v>14.0</v>
      </c>
      <c r="BW6" s="35">
        <v>496.0</v>
      </c>
      <c r="BX6" s="35">
        <v>244.0</v>
      </c>
      <c r="BY6" s="35">
        <v>7657.0</v>
      </c>
      <c r="BZ6" s="226">
        <v>5997.0</v>
      </c>
      <c r="CA6" s="226">
        <v>22149.0</v>
      </c>
      <c r="CB6" s="226">
        <v>62773.0</v>
      </c>
      <c r="CC6" s="226">
        <v>5028.0</v>
      </c>
      <c r="CD6" s="218"/>
    </row>
    <row r="7" ht="14.25" customHeight="1">
      <c r="A7" s="181" t="s">
        <v>150</v>
      </c>
      <c r="B7" s="182">
        <v>669.0</v>
      </c>
      <c r="C7" s="182" t="s">
        <v>151</v>
      </c>
      <c r="D7" s="183">
        <v>23707.0</v>
      </c>
      <c r="E7" s="183">
        <v>18354.0</v>
      </c>
      <c r="F7" s="183">
        <f t="shared" si="1"/>
        <v>5353</v>
      </c>
      <c r="G7" s="185">
        <v>15722.0</v>
      </c>
      <c r="H7" s="35">
        <v>5903.0</v>
      </c>
      <c r="I7" s="183">
        <v>11502.0</v>
      </c>
      <c r="J7" s="183">
        <v>8103.0</v>
      </c>
      <c r="K7" s="183">
        <f t="shared" si="2"/>
        <v>3399</v>
      </c>
      <c r="L7" s="183">
        <f t="shared" si="3"/>
        <v>23708</v>
      </c>
      <c r="M7" s="183">
        <f>2104+2693</f>
        <v>4797</v>
      </c>
      <c r="N7" s="274">
        <f t="shared" si="4"/>
        <v>0.2023452989</v>
      </c>
      <c r="O7" s="183">
        <f>174+235</f>
        <v>409</v>
      </c>
      <c r="P7" s="274">
        <f t="shared" si="5"/>
        <v>0.01725228835</v>
      </c>
      <c r="Q7" s="183">
        <f>8719+8502</f>
        <v>17221</v>
      </c>
      <c r="R7" s="274">
        <f t="shared" si="6"/>
        <v>0.7264099211</v>
      </c>
      <c r="S7" s="183">
        <f>505+775</f>
        <v>1280</v>
      </c>
      <c r="T7" s="274">
        <f t="shared" si="7"/>
        <v>0.05399249167</v>
      </c>
      <c r="U7" s="183">
        <v>0.0</v>
      </c>
      <c r="V7" s="183">
        <v>0.0</v>
      </c>
      <c r="W7" s="348">
        <v>1601.0</v>
      </c>
      <c r="X7" s="347">
        <f t="shared" si="8"/>
        <v>0.101831828</v>
      </c>
      <c r="Y7" s="185">
        <v>65.0</v>
      </c>
      <c r="Z7" s="201">
        <f t="shared" si="9"/>
        <v>0.004134334054</v>
      </c>
      <c r="AA7" s="185">
        <v>13883.0</v>
      </c>
      <c r="AB7" s="201">
        <f t="shared" si="10"/>
        <v>0.8830301488</v>
      </c>
      <c r="AC7" s="185">
        <v>173.0</v>
      </c>
      <c r="AD7" s="201">
        <f t="shared" si="11"/>
        <v>0.0110036891</v>
      </c>
      <c r="AE7" s="185">
        <v>2208.0</v>
      </c>
      <c r="AF7" s="201">
        <f t="shared" si="12"/>
        <v>0.3740470947</v>
      </c>
      <c r="AG7" s="185">
        <v>203.0</v>
      </c>
      <c r="AH7" s="201">
        <f t="shared" si="13"/>
        <v>0.03438929358</v>
      </c>
      <c r="AI7" s="185">
        <v>2804.0</v>
      </c>
      <c r="AJ7" s="201">
        <f t="shared" si="14"/>
        <v>0.4750127054</v>
      </c>
      <c r="AK7" s="185">
        <v>688.0</v>
      </c>
      <c r="AL7" s="201">
        <f t="shared" si="15"/>
        <v>0.1165509063</v>
      </c>
      <c r="AM7" s="35">
        <v>4568.0</v>
      </c>
      <c r="AN7" s="35">
        <v>3787.0</v>
      </c>
      <c r="AO7" s="183">
        <v>781.0</v>
      </c>
      <c r="AP7" s="183">
        <v>12452.0</v>
      </c>
      <c r="AQ7" s="183">
        <v>9785.0</v>
      </c>
      <c r="AR7" s="183">
        <f t="shared" si="16"/>
        <v>2667</v>
      </c>
      <c r="AS7" s="35">
        <v>6687.0</v>
      </c>
      <c r="AT7" s="35">
        <v>4782.0</v>
      </c>
      <c r="AU7" s="183">
        <v>1905.0</v>
      </c>
      <c r="AV7" s="183">
        <v>6376.0</v>
      </c>
      <c r="AW7" s="183">
        <v>5414.0</v>
      </c>
      <c r="AX7" s="183">
        <f t="shared" si="17"/>
        <v>962</v>
      </c>
      <c r="AY7" s="183">
        <v>7933.0</v>
      </c>
      <c r="AZ7" s="183">
        <v>5744.0</v>
      </c>
      <c r="BA7" s="183">
        <f t="shared" si="18"/>
        <v>2189</v>
      </c>
      <c r="BB7" s="183">
        <v>1194.0</v>
      </c>
      <c r="BC7" s="183">
        <v>1005.0</v>
      </c>
      <c r="BD7" s="183">
        <f t="shared" si="19"/>
        <v>189</v>
      </c>
      <c r="BE7" s="183">
        <v>337.0</v>
      </c>
      <c r="BF7" s="183">
        <v>241.0</v>
      </c>
      <c r="BG7" s="183">
        <f t="shared" si="20"/>
        <v>96</v>
      </c>
      <c r="BH7" s="183">
        <v>1895.0</v>
      </c>
      <c r="BI7" s="183">
        <v>1442.0</v>
      </c>
      <c r="BJ7" s="183">
        <f t="shared" si="21"/>
        <v>453</v>
      </c>
      <c r="BK7" s="183">
        <v>3497.0</v>
      </c>
      <c r="BL7" s="190">
        <f t="shared" si="22"/>
        <v>0.1475091745</v>
      </c>
      <c r="BM7" s="183">
        <v>2567.0</v>
      </c>
      <c r="BN7" s="274">
        <f t="shared" si="24"/>
        <v>0.7340577638</v>
      </c>
      <c r="BO7" s="183">
        <f t="shared" si="23"/>
        <v>930</v>
      </c>
      <c r="BP7" s="35">
        <v>1268.0</v>
      </c>
      <c r="BQ7" s="35">
        <v>1961.0</v>
      </c>
      <c r="BR7" s="208">
        <f t="shared" si="25"/>
        <v>0.5607663712</v>
      </c>
      <c r="BS7" s="35">
        <v>37.0</v>
      </c>
      <c r="BT7" s="35">
        <v>111.0</v>
      </c>
      <c r="BU7" s="35">
        <v>0.0</v>
      </c>
      <c r="BV7" s="35">
        <v>120.0</v>
      </c>
      <c r="BW7" s="35">
        <v>2671.0</v>
      </c>
      <c r="BX7" s="35">
        <v>694.0</v>
      </c>
      <c r="BY7" s="35">
        <v>132.0</v>
      </c>
      <c r="BZ7" s="226">
        <v>875.0</v>
      </c>
      <c r="CA7" s="226">
        <v>190.0</v>
      </c>
      <c r="CB7" s="226">
        <v>1345.0</v>
      </c>
      <c r="CC7" s="226">
        <v>74.0</v>
      </c>
      <c r="CD7" s="218"/>
    </row>
    <row r="8" ht="14.25" customHeight="1">
      <c r="A8" s="181" t="s">
        <v>150</v>
      </c>
      <c r="B8" s="182">
        <v>848.0</v>
      </c>
      <c r="C8" s="182" t="s">
        <v>152</v>
      </c>
      <c r="D8" s="183">
        <v>352944.0</v>
      </c>
      <c r="E8" s="183">
        <v>306838.0</v>
      </c>
      <c r="F8" s="183">
        <f t="shared" si="1"/>
        <v>46106</v>
      </c>
      <c r="G8" s="185">
        <v>217563.0</v>
      </c>
      <c r="H8" s="35">
        <v>86582.0</v>
      </c>
      <c r="I8" s="183">
        <v>144752.0</v>
      </c>
      <c r="J8" s="183">
        <v>116350.0</v>
      </c>
      <c r="K8" s="183">
        <f t="shared" si="2"/>
        <v>28402</v>
      </c>
      <c r="L8" s="183">
        <f t="shared" si="3"/>
        <v>352945</v>
      </c>
      <c r="M8" s="183">
        <f>64288+101149</f>
        <v>165437</v>
      </c>
      <c r="N8" s="274">
        <f t="shared" si="4"/>
        <v>0.4687344168</v>
      </c>
      <c r="O8" s="183">
        <f>9633+15277</f>
        <v>24910</v>
      </c>
      <c r="P8" s="274">
        <f t="shared" si="5"/>
        <v>0.07057776871</v>
      </c>
      <c r="Q8" s="183">
        <f>22457+32366</f>
        <v>54823</v>
      </c>
      <c r="R8" s="274">
        <f t="shared" si="6"/>
        <v>0.1553305907</v>
      </c>
      <c r="S8" s="183">
        <f>48374+59400</f>
        <v>107774</v>
      </c>
      <c r="T8" s="274">
        <f t="shared" si="7"/>
        <v>0.3053572238</v>
      </c>
      <c r="U8" s="183">
        <v>0.0</v>
      </c>
      <c r="V8" s="183">
        <v>0.0</v>
      </c>
      <c r="W8" s="30">
        <v>89721.0</v>
      </c>
      <c r="X8" s="347">
        <f t="shared" si="8"/>
        <v>0.4123908937</v>
      </c>
      <c r="Y8" s="185">
        <v>17894.0</v>
      </c>
      <c r="Z8" s="201">
        <f t="shared" si="9"/>
        <v>0.08224744097</v>
      </c>
      <c r="AA8" s="185">
        <v>35363.0</v>
      </c>
      <c r="AB8" s="201">
        <f t="shared" si="10"/>
        <v>0.1625414248</v>
      </c>
      <c r="AC8" s="185">
        <v>74585.0</v>
      </c>
      <c r="AD8" s="201">
        <f t="shared" si="11"/>
        <v>0.3428202406</v>
      </c>
      <c r="AE8" s="185">
        <v>48948.0</v>
      </c>
      <c r="AF8" s="201">
        <f t="shared" si="12"/>
        <v>0.5653369061</v>
      </c>
      <c r="AG8" s="185">
        <v>4210.0</v>
      </c>
      <c r="AH8" s="201">
        <f t="shared" si="13"/>
        <v>0.0486244254</v>
      </c>
      <c r="AI8" s="185">
        <v>11154.0</v>
      </c>
      <c r="AJ8" s="201">
        <f t="shared" si="14"/>
        <v>0.1288258529</v>
      </c>
      <c r="AK8" s="185">
        <v>22270.0</v>
      </c>
      <c r="AL8" s="201">
        <f t="shared" si="15"/>
        <v>0.2572128156</v>
      </c>
      <c r="AM8" s="35">
        <v>103172.0</v>
      </c>
      <c r="AN8" s="35">
        <v>96655.0</v>
      </c>
      <c r="AO8" s="183">
        <v>6517.0</v>
      </c>
      <c r="AP8" s="183">
        <v>180120.0</v>
      </c>
      <c r="AQ8" s="183">
        <v>158675.0</v>
      </c>
      <c r="AR8" s="183">
        <f t="shared" si="16"/>
        <v>21445</v>
      </c>
      <c r="AS8" s="35">
        <v>69652.0</v>
      </c>
      <c r="AT8" s="35">
        <v>51508.0</v>
      </c>
      <c r="AU8" s="183">
        <v>18144.0</v>
      </c>
      <c r="AV8" s="183">
        <v>106496.0</v>
      </c>
      <c r="AW8" s="183">
        <v>98578.0</v>
      </c>
      <c r="AX8" s="183">
        <f t="shared" si="17"/>
        <v>7918</v>
      </c>
      <c r="AY8" s="183">
        <v>41138.0</v>
      </c>
      <c r="AZ8" s="183">
        <v>31132.0</v>
      </c>
      <c r="BA8" s="183">
        <f t="shared" si="18"/>
        <v>10006</v>
      </c>
      <c r="BB8" s="183">
        <v>4327.0</v>
      </c>
      <c r="BC8" s="183">
        <v>3763.0</v>
      </c>
      <c r="BD8" s="183">
        <f t="shared" si="19"/>
        <v>564</v>
      </c>
      <c r="BE8" s="183">
        <v>1040.0</v>
      </c>
      <c r="BF8" s="183">
        <v>729.0</v>
      </c>
      <c r="BG8" s="183">
        <f t="shared" si="20"/>
        <v>311</v>
      </c>
      <c r="BH8" s="183">
        <v>29619.0</v>
      </c>
      <c r="BI8" s="183">
        <v>23802.0</v>
      </c>
      <c r="BJ8" s="183">
        <f t="shared" si="21"/>
        <v>5817</v>
      </c>
      <c r="BK8" s="183">
        <v>120061.0</v>
      </c>
      <c r="BL8" s="349">
        <f t="shared" si="22"/>
        <v>0.340170112</v>
      </c>
      <c r="BM8" s="183">
        <v>102924.0</v>
      </c>
      <c r="BN8" s="274">
        <f t="shared" si="24"/>
        <v>0.857264224</v>
      </c>
      <c r="BO8" s="183">
        <f t="shared" si="23"/>
        <v>17137</v>
      </c>
      <c r="BP8" s="35">
        <v>49974.0</v>
      </c>
      <c r="BQ8" s="35">
        <v>42063.0</v>
      </c>
      <c r="BR8" s="208">
        <f t="shared" si="25"/>
        <v>0.350346907</v>
      </c>
      <c r="BS8" s="35">
        <v>102.0</v>
      </c>
      <c r="BT8" s="35">
        <v>15300.0</v>
      </c>
      <c r="BU8" s="35">
        <v>0.0</v>
      </c>
      <c r="BV8" s="35">
        <v>12619.0</v>
      </c>
      <c r="BW8" s="35">
        <v>34765.0</v>
      </c>
      <c r="BX8" s="35">
        <v>31435.0</v>
      </c>
      <c r="BY8" s="35">
        <v>53861.0</v>
      </c>
      <c r="BZ8" s="226">
        <v>16038.0</v>
      </c>
      <c r="CA8" s="226">
        <v>1706.0</v>
      </c>
      <c r="CB8" s="226">
        <v>9092.0</v>
      </c>
      <c r="CC8" s="226">
        <v>360.0</v>
      </c>
      <c r="CD8" s="218"/>
    </row>
    <row r="9" ht="14.25" customHeight="1">
      <c r="A9" s="181" t="s">
        <v>153</v>
      </c>
      <c r="B9" s="182">
        <v>773.0</v>
      </c>
      <c r="C9" s="182" t="s">
        <v>154</v>
      </c>
      <c r="D9" s="183">
        <v>582876.0</v>
      </c>
      <c r="E9" s="183">
        <v>490913.0</v>
      </c>
      <c r="F9" s="183">
        <f t="shared" si="1"/>
        <v>91963</v>
      </c>
      <c r="G9" s="185">
        <v>395189.0</v>
      </c>
      <c r="H9" s="35">
        <v>109949.0</v>
      </c>
      <c r="I9" s="183">
        <v>234716.0</v>
      </c>
      <c r="J9" s="183">
        <v>190708.0</v>
      </c>
      <c r="K9" s="183">
        <f t="shared" si="2"/>
        <v>44008</v>
      </c>
      <c r="L9" s="183">
        <f t="shared" si="3"/>
        <v>582877</v>
      </c>
      <c r="M9" s="183">
        <f>96367+119850</f>
        <v>216217</v>
      </c>
      <c r="N9" s="274">
        <f t="shared" si="4"/>
        <v>0.3709485379</v>
      </c>
      <c r="O9" s="183">
        <f>22098+41890</f>
        <v>63988</v>
      </c>
      <c r="P9" s="274">
        <f t="shared" si="5"/>
        <v>0.1097797816</v>
      </c>
      <c r="Q9" s="183">
        <f>3866+4907</f>
        <v>8773</v>
      </c>
      <c r="R9" s="274">
        <f t="shared" si="6"/>
        <v>0.01505122873</v>
      </c>
      <c r="S9" s="183">
        <f>112385+181513</f>
        <v>293898</v>
      </c>
      <c r="T9" s="274">
        <f t="shared" si="7"/>
        <v>0.5042204517</v>
      </c>
      <c r="U9" s="183">
        <v>0.0</v>
      </c>
      <c r="V9" s="183">
        <v>0.0</v>
      </c>
      <c r="W9" s="30">
        <v>119163.0</v>
      </c>
      <c r="X9" s="347">
        <f t="shared" si="8"/>
        <v>0.3015342026</v>
      </c>
      <c r="Y9" s="185">
        <v>55581.0</v>
      </c>
      <c r="Z9" s="201">
        <f t="shared" si="9"/>
        <v>0.1406440969</v>
      </c>
      <c r="AA9" s="185">
        <v>5034.0</v>
      </c>
      <c r="AB9" s="201">
        <f t="shared" si="10"/>
        <v>0.01273820881</v>
      </c>
      <c r="AC9" s="185">
        <v>215411.0</v>
      </c>
      <c r="AD9" s="201">
        <f t="shared" si="11"/>
        <v>0.5450834917</v>
      </c>
      <c r="AE9" s="185">
        <v>60952.0</v>
      </c>
      <c r="AF9" s="201">
        <f t="shared" si="12"/>
        <v>0.5543661152</v>
      </c>
      <c r="AG9" s="185">
        <v>4466.0</v>
      </c>
      <c r="AH9" s="201">
        <f t="shared" si="13"/>
        <v>0.04061883237</v>
      </c>
      <c r="AI9" s="185">
        <v>2107.0</v>
      </c>
      <c r="AJ9" s="201">
        <f t="shared" si="14"/>
        <v>0.01916343032</v>
      </c>
      <c r="AK9" s="185">
        <v>42424.0</v>
      </c>
      <c r="AL9" s="201">
        <f t="shared" si="15"/>
        <v>0.3858516221</v>
      </c>
      <c r="AM9" s="35">
        <v>194206.0</v>
      </c>
      <c r="AN9" s="35">
        <v>170397.0</v>
      </c>
      <c r="AO9" s="183">
        <v>23809.0</v>
      </c>
      <c r="AP9" s="183">
        <v>229086.0</v>
      </c>
      <c r="AQ9" s="183">
        <v>191176.0</v>
      </c>
      <c r="AR9" s="183">
        <f t="shared" si="16"/>
        <v>37910</v>
      </c>
      <c r="AS9" s="35">
        <v>159584.0</v>
      </c>
      <c r="AT9" s="35">
        <v>129340.0</v>
      </c>
      <c r="AU9" s="183">
        <v>30244.0</v>
      </c>
      <c r="AV9" s="183">
        <v>241307.0</v>
      </c>
      <c r="AW9" s="183">
        <v>217573.0</v>
      </c>
      <c r="AX9" s="183">
        <f t="shared" si="17"/>
        <v>23734</v>
      </c>
      <c r="AY9" s="183">
        <v>127873.0</v>
      </c>
      <c r="AZ9" s="183">
        <v>99696.0</v>
      </c>
      <c r="BA9" s="183">
        <f t="shared" si="18"/>
        <v>28177</v>
      </c>
      <c r="BB9" s="183">
        <v>21169.0</v>
      </c>
      <c r="BC9" s="183">
        <v>18093.0</v>
      </c>
      <c r="BD9" s="183">
        <f t="shared" si="19"/>
        <v>3076</v>
      </c>
      <c r="BE9" s="183">
        <v>7725.0</v>
      </c>
      <c r="BF9" s="183">
        <v>5883.0</v>
      </c>
      <c r="BG9" s="183">
        <f t="shared" si="20"/>
        <v>1842</v>
      </c>
      <c r="BH9" s="183">
        <v>32066.0</v>
      </c>
      <c r="BI9" s="183">
        <v>26631.0</v>
      </c>
      <c r="BJ9" s="183">
        <f t="shared" si="21"/>
        <v>5435</v>
      </c>
      <c r="BK9" s="183">
        <v>86466.0</v>
      </c>
      <c r="BL9" s="190">
        <f t="shared" si="22"/>
        <v>0.1483437301</v>
      </c>
      <c r="BM9" s="183">
        <v>65612.0</v>
      </c>
      <c r="BN9" s="274">
        <f t="shared" si="24"/>
        <v>0.7588184951</v>
      </c>
      <c r="BO9" s="183">
        <f t="shared" si="23"/>
        <v>20854</v>
      </c>
      <c r="BP9" s="35">
        <v>27607.0</v>
      </c>
      <c r="BQ9" s="35">
        <v>31256.0</v>
      </c>
      <c r="BR9" s="208">
        <f t="shared" si="25"/>
        <v>0.3614831263</v>
      </c>
      <c r="BS9" s="35">
        <v>81.0</v>
      </c>
      <c r="BT9" s="35">
        <v>902.0</v>
      </c>
      <c r="BU9" s="35">
        <v>2375.0</v>
      </c>
      <c r="BV9" s="35">
        <v>24245.0</v>
      </c>
      <c r="BW9" s="35">
        <v>72907.0</v>
      </c>
      <c r="BX9" s="35">
        <v>6326.0</v>
      </c>
      <c r="BY9" s="35">
        <v>7233.0</v>
      </c>
      <c r="BZ9" s="226">
        <v>22005.0</v>
      </c>
      <c r="CA9" s="226">
        <v>3549.0</v>
      </c>
      <c r="CB9" s="226">
        <v>31238.0</v>
      </c>
      <c r="CC9" s="226">
        <v>1689.0</v>
      </c>
      <c r="CD9" s="218"/>
    </row>
    <row r="10" ht="14.25" customHeight="1">
      <c r="A10" s="181" t="s">
        <v>155</v>
      </c>
      <c r="B10" s="182">
        <v>927.0</v>
      </c>
      <c r="C10" s="182" t="s">
        <v>156</v>
      </c>
      <c r="D10" s="183">
        <v>9345.0</v>
      </c>
      <c r="E10" s="183">
        <v>0.0</v>
      </c>
      <c r="F10" s="183">
        <f t="shared" si="1"/>
        <v>9345</v>
      </c>
      <c r="G10" s="185">
        <v>4615.0</v>
      </c>
      <c r="H10" s="114">
        <v>3845.0</v>
      </c>
      <c r="I10" s="183">
        <v>7529.0</v>
      </c>
      <c r="J10" s="183">
        <v>0.0</v>
      </c>
      <c r="K10" s="183">
        <f t="shared" si="2"/>
        <v>7529</v>
      </c>
      <c r="L10" s="183">
        <f t="shared" si="3"/>
        <v>9346</v>
      </c>
      <c r="M10" s="183">
        <f>6445+1071</f>
        <v>7516</v>
      </c>
      <c r="N10" s="274">
        <f t="shared" si="4"/>
        <v>0.8042803638</v>
      </c>
      <c r="O10" s="183">
        <f>530+282</f>
        <v>812</v>
      </c>
      <c r="P10" s="274">
        <f t="shared" si="5"/>
        <v>0.08689138577</v>
      </c>
      <c r="Q10" s="183">
        <f>20+5</f>
        <v>25</v>
      </c>
      <c r="R10" s="274">
        <f t="shared" si="6"/>
        <v>0.002675227394</v>
      </c>
      <c r="S10" s="183">
        <f>534+458</f>
        <v>992</v>
      </c>
      <c r="T10" s="274">
        <f t="shared" si="7"/>
        <v>0.106153023</v>
      </c>
      <c r="U10" s="183">
        <v>0.0</v>
      </c>
      <c r="V10" s="183">
        <v>0.0</v>
      </c>
      <c r="W10" s="30">
        <v>3002.0</v>
      </c>
      <c r="X10" s="347">
        <f t="shared" si="8"/>
        <v>0.6504875406</v>
      </c>
      <c r="Y10" s="185">
        <v>706.0</v>
      </c>
      <c r="Z10" s="201">
        <f t="shared" si="9"/>
        <v>0.152979415</v>
      </c>
      <c r="AA10" s="185">
        <v>2.0</v>
      </c>
      <c r="AB10" s="201">
        <f t="shared" si="10"/>
        <v>0.0004333694475</v>
      </c>
      <c r="AC10" s="185">
        <v>905.0</v>
      </c>
      <c r="AD10" s="201">
        <f t="shared" si="11"/>
        <v>0.196099675</v>
      </c>
      <c r="AE10" s="185">
        <v>3772.0</v>
      </c>
      <c r="AF10" s="201">
        <f t="shared" si="12"/>
        <v>0.9810143043</v>
      </c>
      <c r="AG10" s="185">
        <v>25.0</v>
      </c>
      <c r="AH10" s="201">
        <f t="shared" si="13"/>
        <v>0.006501950585</v>
      </c>
      <c r="AI10" s="185">
        <v>9.0</v>
      </c>
      <c r="AJ10" s="201">
        <f t="shared" si="14"/>
        <v>0.002340702211</v>
      </c>
      <c r="AK10" s="185">
        <v>39.0</v>
      </c>
      <c r="AL10" s="201">
        <f t="shared" si="15"/>
        <v>0.01014304291</v>
      </c>
      <c r="AM10" s="35">
        <v>160.0</v>
      </c>
      <c r="AN10" s="35">
        <v>24794.0</v>
      </c>
      <c r="AO10" s="183">
        <v>-24634.0</v>
      </c>
      <c r="AP10" s="183">
        <v>2230.0</v>
      </c>
      <c r="AQ10" s="183">
        <v>0.0</v>
      </c>
      <c r="AR10" s="183">
        <f t="shared" si="16"/>
        <v>2230</v>
      </c>
      <c r="AS10" s="35">
        <v>6955.0</v>
      </c>
      <c r="AT10" s="35">
        <v>0.0</v>
      </c>
      <c r="AU10" s="183">
        <v>6955.0</v>
      </c>
      <c r="AV10" s="183">
        <v>748.0</v>
      </c>
      <c r="AW10" s="183">
        <v>0.0</v>
      </c>
      <c r="AX10" s="183">
        <f t="shared" si="17"/>
        <v>748</v>
      </c>
      <c r="AY10" s="183">
        <v>6384.0</v>
      </c>
      <c r="AZ10" s="183">
        <v>0.0</v>
      </c>
      <c r="BA10" s="183">
        <f t="shared" si="18"/>
        <v>6384</v>
      </c>
      <c r="BB10" s="183">
        <v>213.0</v>
      </c>
      <c r="BC10" s="183">
        <v>0.0</v>
      </c>
      <c r="BD10" s="183">
        <f t="shared" si="19"/>
        <v>213</v>
      </c>
      <c r="BE10" s="183">
        <v>978.0</v>
      </c>
      <c r="BF10" s="183">
        <v>0.0</v>
      </c>
      <c r="BG10" s="183">
        <f t="shared" si="20"/>
        <v>978</v>
      </c>
      <c r="BH10" s="183">
        <v>768.0</v>
      </c>
      <c r="BI10" s="183">
        <v>0.0</v>
      </c>
      <c r="BJ10" s="183">
        <f t="shared" si="21"/>
        <v>768</v>
      </c>
      <c r="BK10" s="183">
        <v>59.0</v>
      </c>
      <c r="BL10" s="190">
        <f t="shared" si="22"/>
        <v>0.006313536651</v>
      </c>
      <c r="BM10" s="183">
        <v>0.0</v>
      </c>
      <c r="BN10" s="274">
        <f t="shared" si="24"/>
        <v>0</v>
      </c>
      <c r="BO10" s="183">
        <f t="shared" si="23"/>
        <v>59</v>
      </c>
      <c r="BP10" s="35">
        <v>1.0</v>
      </c>
      <c r="BQ10" s="35">
        <v>18.0</v>
      </c>
      <c r="BR10" s="68">
        <f t="shared" si="25"/>
        <v>0.3050847458</v>
      </c>
      <c r="BS10" s="35">
        <v>0.0</v>
      </c>
      <c r="BT10" s="35">
        <v>0.0</v>
      </c>
      <c r="BU10" s="35">
        <v>0.0</v>
      </c>
      <c r="BV10" s="35">
        <v>40.0</v>
      </c>
      <c r="BW10" s="35">
        <v>36.0</v>
      </c>
      <c r="BX10" s="35">
        <v>23.0</v>
      </c>
      <c r="BY10" s="35">
        <v>0.0</v>
      </c>
      <c r="BZ10" s="226">
        <v>157.0</v>
      </c>
      <c r="CA10" s="226">
        <v>72.0</v>
      </c>
      <c r="CB10" s="226">
        <v>2834.0</v>
      </c>
      <c r="CC10" s="226">
        <v>283.0</v>
      </c>
      <c r="CD10" s="218"/>
    </row>
    <row r="11" ht="14.25" customHeight="1">
      <c r="A11" s="181" t="s">
        <v>146</v>
      </c>
      <c r="B11" s="182">
        <v>843.0</v>
      </c>
      <c r="C11" s="182" t="s">
        <v>157</v>
      </c>
      <c r="D11" s="183">
        <v>260782.0</v>
      </c>
      <c r="E11" s="183">
        <v>196639.0</v>
      </c>
      <c r="F11" s="183">
        <f t="shared" si="1"/>
        <v>64143</v>
      </c>
      <c r="G11" s="185">
        <v>176448.0</v>
      </c>
      <c r="H11" s="35">
        <v>78718.0</v>
      </c>
      <c r="I11" s="183">
        <v>124909.0</v>
      </c>
      <c r="J11" s="183">
        <v>80424.0</v>
      </c>
      <c r="K11" s="183">
        <f t="shared" si="2"/>
        <v>44485</v>
      </c>
      <c r="L11" s="183">
        <f t="shared" si="3"/>
        <v>260783</v>
      </c>
      <c r="M11" s="183">
        <f>39295+20540</f>
        <v>59835</v>
      </c>
      <c r="N11" s="274">
        <f t="shared" si="4"/>
        <v>0.2294445169</v>
      </c>
      <c r="O11" s="183">
        <f>12716+19068</f>
        <v>31784</v>
      </c>
      <c r="P11" s="274">
        <f t="shared" si="5"/>
        <v>0.1218795776</v>
      </c>
      <c r="Q11" s="183">
        <f>28402+40834</f>
        <v>69236</v>
      </c>
      <c r="R11" s="274">
        <f t="shared" si="6"/>
        <v>0.2654937841</v>
      </c>
      <c r="S11" s="183">
        <f>44496+55431</f>
        <v>99927</v>
      </c>
      <c r="T11" s="274">
        <f t="shared" si="7"/>
        <v>0.3831821215</v>
      </c>
      <c r="U11" s="183">
        <v>0.0</v>
      </c>
      <c r="V11" s="183">
        <v>0.0</v>
      </c>
      <c r="W11" s="30">
        <v>29337.0</v>
      </c>
      <c r="X11" s="347">
        <f t="shared" si="8"/>
        <v>0.1662642818</v>
      </c>
      <c r="Y11" s="185">
        <v>24176.0</v>
      </c>
      <c r="Z11" s="201">
        <f t="shared" si="9"/>
        <v>0.1370148712</v>
      </c>
      <c r="AA11" s="185">
        <v>59451.0</v>
      </c>
      <c r="AB11" s="201">
        <f t="shared" si="10"/>
        <v>0.3369321273</v>
      </c>
      <c r="AC11" s="185">
        <v>63484.0</v>
      </c>
      <c r="AD11" s="201">
        <f t="shared" si="11"/>
        <v>0.3597887196</v>
      </c>
      <c r="AE11" s="185">
        <v>28351.0</v>
      </c>
      <c r="AF11" s="201">
        <f t="shared" si="12"/>
        <v>0.3601590488</v>
      </c>
      <c r="AG11" s="185">
        <v>7182.0</v>
      </c>
      <c r="AH11" s="201">
        <f t="shared" si="13"/>
        <v>0.09123707411</v>
      </c>
      <c r="AI11" s="185">
        <v>8453.0</v>
      </c>
      <c r="AJ11" s="201">
        <f t="shared" si="14"/>
        <v>0.1073833177</v>
      </c>
      <c r="AK11" s="185">
        <v>34732.0</v>
      </c>
      <c r="AL11" s="201">
        <f t="shared" si="15"/>
        <v>0.4412205595</v>
      </c>
      <c r="AM11" s="35">
        <v>30770.0</v>
      </c>
      <c r="AN11" s="185">
        <v>0.0</v>
      </c>
      <c r="AO11" s="183">
        <v>30770.0</v>
      </c>
      <c r="AP11" s="183">
        <v>69021.0</v>
      </c>
      <c r="AQ11" s="183">
        <v>50853.0</v>
      </c>
      <c r="AR11" s="183">
        <f t="shared" si="16"/>
        <v>18168</v>
      </c>
      <c r="AS11" s="35">
        <v>160991.0</v>
      </c>
      <c r="AT11" s="35">
        <v>120992.0</v>
      </c>
      <c r="AU11" s="183">
        <v>39999.0</v>
      </c>
      <c r="AV11" s="183">
        <v>121284.0</v>
      </c>
      <c r="AW11" s="183">
        <v>105780.0</v>
      </c>
      <c r="AX11" s="183">
        <f t="shared" si="17"/>
        <v>15504</v>
      </c>
      <c r="AY11" s="183">
        <v>74076.0</v>
      </c>
      <c r="AZ11" s="183">
        <v>48794.0</v>
      </c>
      <c r="BA11" s="183">
        <f t="shared" si="18"/>
        <v>25282</v>
      </c>
      <c r="BB11" s="183">
        <v>11444.0</v>
      </c>
      <c r="BC11" s="183">
        <v>9010.0</v>
      </c>
      <c r="BD11" s="183">
        <f t="shared" si="19"/>
        <v>2434</v>
      </c>
      <c r="BE11" s="183">
        <v>2603.0</v>
      </c>
      <c r="BF11" s="183">
        <v>1521.0</v>
      </c>
      <c r="BG11" s="183">
        <f t="shared" si="20"/>
        <v>1082</v>
      </c>
      <c r="BH11" s="183">
        <v>10524.0</v>
      </c>
      <c r="BI11" s="183">
        <v>5866.0</v>
      </c>
      <c r="BJ11" s="183">
        <f t="shared" si="21"/>
        <v>4658</v>
      </c>
      <c r="BK11" s="183">
        <v>24301.0</v>
      </c>
      <c r="BL11" s="190">
        <f t="shared" si="22"/>
        <v>0.09318511247</v>
      </c>
      <c r="BM11" s="183">
        <v>14120.0</v>
      </c>
      <c r="BN11" s="274">
        <f t="shared" si="24"/>
        <v>0.5810460475</v>
      </c>
      <c r="BO11" s="183">
        <f t="shared" si="23"/>
        <v>10181</v>
      </c>
      <c r="BP11" s="35">
        <v>5200.0</v>
      </c>
      <c r="BQ11" s="35">
        <v>18269.0</v>
      </c>
      <c r="BR11" s="208">
        <f t="shared" si="25"/>
        <v>0.7517797621</v>
      </c>
      <c r="BS11" s="35">
        <v>92.0</v>
      </c>
      <c r="BT11" s="35">
        <v>354.0</v>
      </c>
      <c r="BU11" s="35">
        <v>344.0</v>
      </c>
      <c r="BV11" s="35">
        <v>38.0</v>
      </c>
      <c r="BW11" s="35">
        <v>11649.0</v>
      </c>
      <c r="BX11" s="35">
        <v>8515.0</v>
      </c>
      <c r="BY11" s="35">
        <v>4137.0</v>
      </c>
      <c r="BZ11" s="226">
        <v>17503.0</v>
      </c>
      <c r="CA11" s="226">
        <v>2983.0</v>
      </c>
      <c r="CB11" s="226">
        <v>23694.0</v>
      </c>
      <c r="CC11" s="226">
        <v>821.0</v>
      </c>
      <c r="CD11" s="218"/>
    </row>
    <row r="12" ht="14.25" customHeight="1">
      <c r="A12" s="181" t="s">
        <v>146</v>
      </c>
      <c r="B12" s="182">
        <v>857.0</v>
      </c>
      <c r="C12" s="182" t="s">
        <v>158</v>
      </c>
      <c r="D12" s="183">
        <v>4489.0</v>
      </c>
      <c r="E12" s="183">
        <v>3227.0</v>
      </c>
      <c r="F12" s="183">
        <f t="shared" si="1"/>
        <v>1262</v>
      </c>
      <c r="G12" s="185">
        <v>2745.0</v>
      </c>
      <c r="H12" s="35">
        <v>1384.0</v>
      </c>
      <c r="I12" s="183">
        <v>2885.0</v>
      </c>
      <c r="J12" s="183">
        <v>2011.0</v>
      </c>
      <c r="K12" s="183">
        <f t="shared" si="2"/>
        <v>874</v>
      </c>
      <c r="L12" s="183">
        <f t="shared" si="3"/>
        <v>4490</v>
      </c>
      <c r="M12" s="183">
        <f>1525+412</f>
        <v>1937</v>
      </c>
      <c r="N12" s="274">
        <f t="shared" si="4"/>
        <v>0.4314992203</v>
      </c>
      <c r="O12" s="183">
        <f>147+91</f>
        <v>238</v>
      </c>
      <c r="P12" s="274">
        <f t="shared" si="5"/>
        <v>0.05301848964</v>
      </c>
      <c r="Q12" s="183">
        <f>664+780</f>
        <v>1444</v>
      </c>
      <c r="R12" s="274">
        <f t="shared" si="6"/>
        <v>0.3216752061</v>
      </c>
      <c r="S12" s="183">
        <f>549+321</f>
        <v>870</v>
      </c>
      <c r="T12" s="274">
        <f t="shared" si="7"/>
        <v>0.193807084</v>
      </c>
      <c r="U12" s="183">
        <v>0.0</v>
      </c>
      <c r="V12" s="183">
        <v>0.0</v>
      </c>
      <c r="W12" s="30">
        <v>764.0</v>
      </c>
      <c r="X12" s="347">
        <f t="shared" si="8"/>
        <v>0.2783242259</v>
      </c>
      <c r="Y12" s="185">
        <v>163.0</v>
      </c>
      <c r="Z12" s="201">
        <f t="shared" si="9"/>
        <v>0.05938069217</v>
      </c>
      <c r="AA12" s="185">
        <v>1203.0</v>
      </c>
      <c r="AB12" s="201">
        <f t="shared" si="10"/>
        <v>0.4382513661</v>
      </c>
      <c r="AC12" s="185">
        <v>615.0</v>
      </c>
      <c r="AD12" s="201">
        <f t="shared" si="11"/>
        <v>0.2240437158</v>
      </c>
      <c r="AE12" s="185">
        <v>994.0</v>
      </c>
      <c r="AF12" s="201">
        <f t="shared" si="12"/>
        <v>0.7182080925</v>
      </c>
      <c r="AG12" s="185">
        <v>47.0</v>
      </c>
      <c r="AH12" s="201">
        <f t="shared" si="13"/>
        <v>0.03395953757</v>
      </c>
      <c r="AI12" s="185">
        <v>184.0</v>
      </c>
      <c r="AJ12" s="201">
        <f t="shared" si="14"/>
        <v>0.1329479769</v>
      </c>
      <c r="AK12" s="185">
        <v>159.0</v>
      </c>
      <c r="AL12" s="201">
        <f t="shared" si="15"/>
        <v>0.1148843931</v>
      </c>
      <c r="AM12" s="35">
        <v>773.0</v>
      </c>
      <c r="AN12" s="35">
        <v>597.0</v>
      </c>
      <c r="AO12" s="183">
        <v>176.0</v>
      </c>
      <c r="AP12" s="183">
        <v>1910.0</v>
      </c>
      <c r="AQ12" s="183">
        <v>1401.0</v>
      </c>
      <c r="AR12" s="183">
        <f t="shared" si="16"/>
        <v>509</v>
      </c>
      <c r="AS12" s="35">
        <v>1806.0</v>
      </c>
      <c r="AT12" s="35">
        <v>1229.0</v>
      </c>
      <c r="AU12" s="183">
        <v>577.0</v>
      </c>
      <c r="AV12" s="183">
        <v>936.0</v>
      </c>
      <c r="AW12" s="183">
        <v>738.0</v>
      </c>
      <c r="AX12" s="183">
        <f t="shared" si="17"/>
        <v>198</v>
      </c>
      <c r="AY12" s="183">
        <v>2505.0</v>
      </c>
      <c r="AZ12" s="183">
        <v>1781.0</v>
      </c>
      <c r="BA12" s="183">
        <f t="shared" si="18"/>
        <v>724</v>
      </c>
      <c r="BB12" s="183">
        <v>132.0</v>
      </c>
      <c r="BC12" s="183">
        <v>97.0</v>
      </c>
      <c r="BD12" s="183">
        <f t="shared" si="19"/>
        <v>35</v>
      </c>
      <c r="BE12" s="183">
        <v>94.0</v>
      </c>
      <c r="BF12" s="183">
        <v>66.0</v>
      </c>
      <c r="BG12" s="183">
        <f t="shared" si="20"/>
        <v>28</v>
      </c>
      <c r="BH12" s="183">
        <v>355.0</v>
      </c>
      <c r="BI12" s="183">
        <v>238.0</v>
      </c>
      <c r="BJ12" s="183">
        <f t="shared" si="21"/>
        <v>117</v>
      </c>
      <c r="BK12" s="183">
        <v>171.0</v>
      </c>
      <c r="BL12" s="190">
        <f t="shared" si="22"/>
        <v>0.03809311651</v>
      </c>
      <c r="BM12" s="183">
        <v>97.0</v>
      </c>
      <c r="BN12" s="274">
        <f t="shared" si="24"/>
        <v>0.567251462</v>
      </c>
      <c r="BO12" s="183">
        <f t="shared" si="23"/>
        <v>74</v>
      </c>
      <c r="BP12" s="35">
        <v>18.0</v>
      </c>
      <c r="BQ12" s="35">
        <v>142.0</v>
      </c>
      <c r="BR12" s="350">
        <f t="shared" si="25"/>
        <v>0.8304093567</v>
      </c>
      <c r="BS12" s="35">
        <v>0.0</v>
      </c>
      <c r="BT12" s="35">
        <v>11.0</v>
      </c>
      <c r="BU12" s="35">
        <v>0.0</v>
      </c>
      <c r="BV12" s="35">
        <v>0.0</v>
      </c>
      <c r="BW12" s="35">
        <v>70.0</v>
      </c>
      <c r="BX12" s="35">
        <v>85.0</v>
      </c>
      <c r="BY12" s="35">
        <v>16.0</v>
      </c>
      <c r="BZ12" s="226">
        <v>181.0</v>
      </c>
      <c r="CA12" s="226">
        <v>43.0</v>
      </c>
      <c r="CB12" s="226">
        <v>685.0</v>
      </c>
      <c r="CC12" s="226">
        <v>30.0</v>
      </c>
      <c r="CD12" s="218"/>
    </row>
    <row r="13" ht="14.25" customHeight="1">
      <c r="A13" s="181" t="s">
        <v>159</v>
      </c>
      <c r="B13" s="182">
        <v>899.0</v>
      </c>
      <c r="C13" s="182" t="s">
        <v>160</v>
      </c>
      <c r="D13" s="183">
        <v>151600.0</v>
      </c>
      <c r="E13" s="183">
        <v>3935.0</v>
      </c>
      <c r="F13" s="183">
        <f t="shared" si="1"/>
        <v>147665</v>
      </c>
      <c r="G13" s="185">
        <v>80846.0</v>
      </c>
      <c r="H13" s="114">
        <v>62411.0</v>
      </c>
      <c r="I13" s="183">
        <v>111448.0</v>
      </c>
      <c r="J13" s="183">
        <v>2535.0</v>
      </c>
      <c r="K13" s="183">
        <f t="shared" si="2"/>
        <v>108913</v>
      </c>
      <c r="L13" s="183">
        <f t="shared" si="3"/>
        <v>151601</v>
      </c>
      <c r="M13" s="183">
        <f>86647+23866</f>
        <v>110513</v>
      </c>
      <c r="N13" s="274">
        <f t="shared" si="4"/>
        <v>0.7289775726</v>
      </c>
      <c r="O13" s="183">
        <f>9113+6993</f>
        <v>16106</v>
      </c>
      <c r="P13" s="274">
        <f t="shared" si="5"/>
        <v>0.1062401055</v>
      </c>
      <c r="Q13" s="183">
        <f>2001+2683</f>
        <v>4684</v>
      </c>
      <c r="R13" s="274">
        <f t="shared" si="6"/>
        <v>0.03089709763</v>
      </c>
      <c r="S13" s="183">
        <f>13687+6610</f>
        <v>20297</v>
      </c>
      <c r="T13" s="274">
        <f t="shared" si="7"/>
        <v>0.1338852243</v>
      </c>
      <c r="U13" s="183">
        <v>0.0</v>
      </c>
      <c r="V13" s="183">
        <v>0.0</v>
      </c>
      <c r="W13" s="30">
        <v>45665.0</v>
      </c>
      <c r="X13" s="347">
        <f t="shared" si="8"/>
        <v>0.5648393241</v>
      </c>
      <c r="Y13" s="185">
        <v>14255.0</v>
      </c>
      <c r="Z13" s="201">
        <f t="shared" si="9"/>
        <v>0.1763228855</v>
      </c>
      <c r="AA13" s="185">
        <v>4357.0</v>
      </c>
      <c r="AB13" s="201">
        <f t="shared" si="10"/>
        <v>0.0538925859</v>
      </c>
      <c r="AC13" s="185">
        <v>16569.0</v>
      </c>
      <c r="AD13" s="201">
        <f t="shared" si="11"/>
        <v>0.2049452045</v>
      </c>
      <c r="AE13" s="185">
        <v>59363.0</v>
      </c>
      <c r="AF13" s="201">
        <f t="shared" si="12"/>
        <v>0.9511624553</v>
      </c>
      <c r="AG13" s="185">
        <v>690.0</v>
      </c>
      <c r="AH13" s="201">
        <f t="shared" si="13"/>
        <v>0.01105574338</v>
      </c>
      <c r="AI13" s="185">
        <v>106.0</v>
      </c>
      <c r="AJ13" s="201">
        <f t="shared" si="14"/>
        <v>0.001698418548</v>
      </c>
      <c r="AK13" s="185">
        <v>2252.0</v>
      </c>
      <c r="AL13" s="201">
        <f t="shared" si="15"/>
        <v>0.03608338274</v>
      </c>
      <c r="AM13" s="35">
        <v>565.0</v>
      </c>
      <c r="AN13" s="35">
        <v>45.0</v>
      </c>
      <c r="AO13" s="183">
        <v>520.0</v>
      </c>
      <c r="AP13" s="183">
        <v>65809.0</v>
      </c>
      <c r="AQ13" s="183">
        <v>1977.0</v>
      </c>
      <c r="AR13" s="183">
        <f t="shared" si="16"/>
        <v>63832</v>
      </c>
      <c r="AS13" s="35">
        <v>85226.0</v>
      </c>
      <c r="AT13" s="35">
        <v>1913.0</v>
      </c>
      <c r="AU13" s="183">
        <v>83313.0</v>
      </c>
      <c r="AV13" s="183">
        <v>24538.0</v>
      </c>
      <c r="AW13" s="183">
        <v>1021.0</v>
      </c>
      <c r="AX13" s="183">
        <f t="shared" si="17"/>
        <v>23517</v>
      </c>
      <c r="AY13" s="183">
        <v>98660.0</v>
      </c>
      <c r="AZ13" s="183">
        <v>2160.0</v>
      </c>
      <c r="BA13" s="183">
        <f t="shared" si="18"/>
        <v>96500</v>
      </c>
      <c r="BB13" s="183">
        <v>4014.0</v>
      </c>
      <c r="BC13" s="183">
        <v>92.0</v>
      </c>
      <c r="BD13" s="183">
        <f t="shared" si="19"/>
        <v>3922</v>
      </c>
      <c r="BE13" s="183">
        <v>5402.0</v>
      </c>
      <c r="BF13" s="183">
        <v>134.0</v>
      </c>
      <c r="BG13" s="183">
        <f t="shared" si="20"/>
        <v>5268</v>
      </c>
      <c r="BH13" s="183">
        <v>13226.0</v>
      </c>
      <c r="BI13" s="183">
        <v>330.0</v>
      </c>
      <c r="BJ13" s="183">
        <f t="shared" si="21"/>
        <v>12896</v>
      </c>
      <c r="BK13" s="183">
        <v>0.0</v>
      </c>
      <c r="BL13" s="190">
        <f t="shared" si="22"/>
        <v>0</v>
      </c>
      <c r="BM13" s="183">
        <v>0.0</v>
      </c>
      <c r="BN13" s="201">
        <v>0.0</v>
      </c>
      <c r="BO13" s="183">
        <f t="shared" si="23"/>
        <v>0</v>
      </c>
      <c r="BP13" s="35">
        <v>0.0</v>
      </c>
      <c r="BQ13" s="35">
        <v>0.0</v>
      </c>
      <c r="BR13" s="208">
        <v>0.0</v>
      </c>
      <c r="BS13" s="35">
        <v>0.0</v>
      </c>
      <c r="BT13" s="35">
        <v>0.0</v>
      </c>
      <c r="BU13" s="35">
        <v>0.0</v>
      </c>
      <c r="BV13" s="35">
        <v>0.0</v>
      </c>
      <c r="BW13" s="35">
        <v>0.0</v>
      </c>
      <c r="BX13" s="35">
        <v>0.0</v>
      </c>
      <c r="BY13" s="35">
        <v>0.0</v>
      </c>
      <c r="BZ13" s="226">
        <v>7795.0</v>
      </c>
      <c r="CA13" s="226">
        <v>1844.0</v>
      </c>
      <c r="CB13" s="226">
        <v>40421.0</v>
      </c>
      <c r="CC13" s="226">
        <v>1611.0</v>
      </c>
      <c r="CD13" s="218"/>
    </row>
    <row r="14" ht="14.25" customHeight="1">
      <c r="A14" s="181" t="s">
        <v>146</v>
      </c>
      <c r="B14" s="182">
        <v>795.0</v>
      </c>
      <c r="C14" s="182" t="s">
        <v>161</v>
      </c>
      <c r="D14" s="183">
        <v>13836.0</v>
      </c>
      <c r="E14" s="183">
        <v>9099.0</v>
      </c>
      <c r="F14" s="183">
        <f t="shared" si="1"/>
        <v>4737</v>
      </c>
      <c r="G14" s="185">
        <v>2860.0</v>
      </c>
      <c r="H14" s="35">
        <v>1941.0</v>
      </c>
      <c r="I14" s="183">
        <v>11139.0</v>
      </c>
      <c r="J14" s="183">
        <v>7231.0</v>
      </c>
      <c r="K14" s="183">
        <f t="shared" si="2"/>
        <v>3908</v>
      </c>
      <c r="L14" s="183">
        <f t="shared" si="3"/>
        <v>13837</v>
      </c>
      <c r="M14" s="183">
        <f>9438+2062</f>
        <v>11500</v>
      </c>
      <c r="N14" s="274">
        <f t="shared" si="4"/>
        <v>0.8311650766</v>
      </c>
      <c r="O14" s="183">
        <f>71+48</f>
        <v>119</v>
      </c>
      <c r="P14" s="274">
        <f t="shared" si="5"/>
        <v>0.008600751662</v>
      </c>
      <c r="Q14" s="183">
        <f>357+229</f>
        <v>586</v>
      </c>
      <c r="R14" s="274">
        <f t="shared" si="6"/>
        <v>0.0423532813</v>
      </c>
      <c r="S14" s="183">
        <f>1273+358</f>
        <v>1631</v>
      </c>
      <c r="T14" s="274">
        <f t="shared" si="7"/>
        <v>0.1178808904</v>
      </c>
      <c r="U14" s="183">
        <v>0.0</v>
      </c>
      <c r="V14" s="183">
        <v>0.0</v>
      </c>
      <c r="W14" s="30">
        <v>1963.0</v>
      </c>
      <c r="X14" s="347">
        <f t="shared" si="8"/>
        <v>0.6863636364</v>
      </c>
      <c r="Y14" s="185">
        <v>47.0</v>
      </c>
      <c r="Z14" s="201">
        <f t="shared" si="9"/>
        <v>0.01643356643</v>
      </c>
      <c r="AA14" s="185">
        <v>238.0</v>
      </c>
      <c r="AB14" s="201">
        <f t="shared" si="10"/>
        <v>0.08321678322</v>
      </c>
      <c r="AC14" s="185">
        <v>612.0</v>
      </c>
      <c r="AD14" s="201">
        <f t="shared" si="11"/>
        <v>0.213986014</v>
      </c>
      <c r="AE14" s="185">
        <v>1828.0</v>
      </c>
      <c r="AF14" s="201">
        <f t="shared" si="12"/>
        <v>0.9417825863</v>
      </c>
      <c r="AG14" s="185">
        <v>11.0</v>
      </c>
      <c r="AH14" s="201">
        <f t="shared" si="13"/>
        <v>0.005667181865</v>
      </c>
      <c r="AI14" s="185">
        <v>23.0</v>
      </c>
      <c r="AJ14" s="201">
        <f t="shared" si="14"/>
        <v>0.01184956208</v>
      </c>
      <c r="AK14" s="185">
        <v>79.0</v>
      </c>
      <c r="AL14" s="201">
        <f t="shared" si="15"/>
        <v>0.04070066976</v>
      </c>
      <c r="AM14" s="35">
        <v>1751.0</v>
      </c>
      <c r="AN14" s="35">
        <v>1159.0</v>
      </c>
      <c r="AO14" s="183">
        <v>592.0</v>
      </c>
      <c r="AP14" s="183">
        <v>6512.0</v>
      </c>
      <c r="AQ14" s="183">
        <v>4325.0</v>
      </c>
      <c r="AR14" s="183">
        <f t="shared" si="16"/>
        <v>2187</v>
      </c>
      <c r="AS14" s="35">
        <v>5573.0</v>
      </c>
      <c r="AT14" s="35">
        <v>3615.0</v>
      </c>
      <c r="AU14" s="183">
        <v>1958.0</v>
      </c>
      <c r="AV14" s="183">
        <v>3075.0</v>
      </c>
      <c r="AW14" s="183">
        <v>2123.0</v>
      </c>
      <c r="AX14" s="183">
        <f t="shared" si="17"/>
        <v>952</v>
      </c>
      <c r="AY14" s="183">
        <v>8121.0</v>
      </c>
      <c r="AZ14" s="183">
        <v>5272.0</v>
      </c>
      <c r="BA14" s="183">
        <f t="shared" si="18"/>
        <v>2849</v>
      </c>
      <c r="BB14" s="183">
        <v>399.0</v>
      </c>
      <c r="BC14" s="183">
        <v>284.0</v>
      </c>
      <c r="BD14" s="183">
        <f t="shared" si="19"/>
        <v>115</v>
      </c>
      <c r="BE14" s="183">
        <v>230.0</v>
      </c>
      <c r="BF14" s="183">
        <v>150.0</v>
      </c>
      <c r="BG14" s="183">
        <f t="shared" si="20"/>
        <v>80</v>
      </c>
      <c r="BH14" s="183">
        <v>1082.0</v>
      </c>
      <c r="BI14" s="183">
        <v>686.0</v>
      </c>
      <c r="BJ14" s="183">
        <f t="shared" si="21"/>
        <v>396</v>
      </c>
      <c r="BK14" s="183">
        <v>216.0</v>
      </c>
      <c r="BL14" s="190">
        <f t="shared" si="22"/>
        <v>0.0156114484</v>
      </c>
      <c r="BM14" s="183">
        <v>130.0</v>
      </c>
      <c r="BN14" s="274">
        <f t="shared" ref="BN14:BN41" si="26">BM14/BK14</f>
        <v>0.6018518519</v>
      </c>
      <c r="BO14" s="183">
        <f t="shared" si="23"/>
        <v>86</v>
      </c>
      <c r="BP14" s="35">
        <v>29.0</v>
      </c>
      <c r="BQ14" s="35">
        <v>104.0</v>
      </c>
      <c r="BR14" s="208">
        <f t="shared" ref="BR14:BR41" si="27">BQ14/BK14</f>
        <v>0.4814814815</v>
      </c>
      <c r="BS14" s="35">
        <v>4.0</v>
      </c>
      <c r="BT14" s="35">
        <v>79.0</v>
      </c>
      <c r="BU14" s="35">
        <v>0.0</v>
      </c>
      <c r="BV14" s="35">
        <v>0.0</v>
      </c>
      <c r="BW14" s="35">
        <v>72.0</v>
      </c>
      <c r="BX14" s="35">
        <v>61.0</v>
      </c>
      <c r="BY14" s="35">
        <v>83.0</v>
      </c>
      <c r="BZ14" s="226">
        <v>482.0</v>
      </c>
      <c r="CA14" s="226">
        <v>71.0</v>
      </c>
      <c r="CB14" s="226">
        <v>799.0</v>
      </c>
      <c r="CC14" s="226">
        <v>35.0</v>
      </c>
      <c r="CD14" s="218"/>
    </row>
    <row r="15" ht="14.25" customHeight="1">
      <c r="A15" s="181" t="s">
        <v>155</v>
      </c>
      <c r="B15" s="182">
        <v>903.0</v>
      </c>
      <c r="C15" s="182" t="s">
        <v>162</v>
      </c>
      <c r="D15" s="183">
        <v>378118.0</v>
      </c>
      <c r="E15" s="183">
        <v>249160.0</v>
      </c>
      <c r="F15" s="183">
        <f t="shared" si="1"/>
        <v>128958</v>
      </c>
      <c r="G15" s="185">
        <v>185185.0</v>
      </c>
      <c r="H15" s="114">
        <v>138832.0</v>
      </c>
      <c r="I15" s="183">
        <v>203729.0</v>
      </c>
      <c r="J15" s="183">
        <v>118374.0</v>
      </c>
      <c r="K15" s="183">
        <f t="shared" si="2"/>
        <v>85355</v>
      </c>
      <c r="L15" s="183">
        <f t="shared" si="3"/>
        <v>378119</v>
      </c>
      <c r="M15" s="183">
        <f>110612+69564</f>
        <v>180176</v>
      </c>
      <c r="N15" s="274">
        <f t="shared" si="4"/>
        <v>0.4765073337</v>
      </c>
      <c r="O15" s="183">
        <f>15233+16912</f>
        <v>32145</v>
      </c>
      <c r="P15" s="274">
        <f t="shared" si="5"/>
        <v>0.08501314404</v>
      </c>
      <c r="Q15" s="183">
        <f>21594+23164</f>
        <v>44758</v>
      </c>
      <c r="R15" s="274">
        <f t="shared" si="6"/>
        <v>0.1183704558</v>
      </c>
      <c r="S15" s="183">
        <f>56290+64749</f>
        <v>121039</v>
      </c>
      <c r="T15" s="274">
        <f t="shared" si="7"/>
        <v>0.3201090665</v>
      </c>
      <c r="U15" s="183">
        <v>0.0</v>
      </c>
      <c r="V15" s="183">
        <v>0.0</v>
      </c>
      <c r="W15" s="30">
        <v>66920.0</v>
      </c>
      <c r="X15" s="347">
        <f t="shared" si="8"/>
        <v>0.3613683614</v>
      </c>
      <c r="Y15" s="185">
        <v>19050.0</v>
      </c>
      <c r="Z15" s="201">
        <f t="shared" si="9"/>
        <v>0.1028701029</v>
      </c>
      <c r="AA15" s="185">
        <v>30647.0</v>
      </c>
      <c r="AB15" s="201">
        <f t="shared" si="10"/>
        <v>0.1654939655</v>
      </c>
      <c r="AC15" s="185">
        <v>68568.0</v>
      </c>
      <c r="AD15" s="201">
        <f t="shared" si="11"/>
        <v>0.3702675703</v>
      </c>
      <c r="AE15" s="185">
        <v>88385.0</v>
      </c>
      <c r="AF15" s="201">
        <f t="shared" si="12"/>
        <v>0.6366327648</v>
      </c>
      <c r="AG15" s="185">
        <v>8628.0</v>
      </c>
      <c r="AH15" s="201">
        <f t="shared" si="13"/>
        <v>0.06214705543</v>
      </c>
      <c r="AI15" s="185">
        <v>6093.0</v>
      </c>
      <c r="AJ15" s="201">
        <f t="shared" si="14"/>
        <v>0.04388757635</v>
      </c>
      <c r="AK15" s="185">
        <v>35726.0</v>
      </c>
      <c r="AL15" s="201">
        <f t="shared" si="15"/>
        <v>0.2573326034</v>
      </c>
      <c r="AM15" s="35">
        <v>107696.0</v>
      </c>
      <c r="AN15" s="35">
        <v>87255.0</v>
      </c>
      <c r="AO15" s="183">
        <v>20441.0</v>
      </c>
      <c r="AP15" s="183">
        <v>135715.0</v>
      </c>
      <c r="AQ15" s="183">
        <v>78231.0</v>
      </c>
      <c r="AR15" s="183">
        <f t="shared" si="16"/>
        <v>57484</v>
      </c>
      <c r="AS15" s="35">
        <v>134707.0</v>
      </c>
      <c r="AT15" s="35">
        <v>83674.0</v>
      </c>
      <c r="AU15" s="183">
        <v>51033.0</v>
      </c>
      <c r="AV15" s="183">
        <v>133655.0</v>
      </c>
      <c r="AW15" s="183">
        <v>109643.0</v>
      </c>
      <c r="AX15" s="183">
        <f t="shared" si="17"/>
        <v>24012</v>
      </c>
      <c r="AY15" s="183">
        <v>182110.0</v>
      </c>
      <c r="AZ15" s="183">
        <v>106966.0</v>
      </c>
      <c r="BA15" s="183">
        <f t="shared" si="18"/>
        <v>75144</v>
      </c>
      <c r="BB15" s="183">
        <v>11119.0</v>
      </c>
      <c r="BC15" s="183">
        <v>6349.0</v>
      </c>
      <c r="BD15" s="183">
        <f t="shared" si="19"/>
        <v>4770</v>
      </c>
      <c r="BE15" s="183">
        <v>13286.0</v>
      </c>
      <c r="BF15" s="183">
        <v>7794.0</v>
      </c>
      <c r="BG15" s="183">
        <f t="shared" si="20"/>
        <v>5492</v>
      </c>
      <c r="BH15" s="183">
        <v>27279.0</v>
      </c>
      <c r="BI15" s="183">
        <v>13539.0</v>
      </c>
      <c r="BJ15" s="183">
        <f t="shared" si="21"/>
        <v>13740</v>
      </c>
      <c r="BK15" s="183">
        <v>3109.0</v>
      </c>
      <c r="BL15" s="190">
        <f t="shared" si="22"/>
        <v>0.008222300975</v>
      </c>
      <c r="BM15" s="183">
        <v>928.0</v>
      </c>
      <c r="BN15" s="351">
        <f t="shared" si="26"/>
        <v>0.2984882599</v>
      </c>
      <c r="BO15" s="183">
        <f t="shared" si="23"/>
        <v>2181</v>
      </c>
      <c r="BP15" s="35">
        <v>32.0</v>
      </c>
      <c r="BQ15" s="35">
        <v>3039.0</v>
      </c>
      <c r="BR15" s="350">
        <f t="shared" si="27"/>
        <v>0.9774847218</v>
      </c>
      <c r="BS15" s="35">
        <v>15.0</v>
      </c>
      <c r="BT15" s="35">
        <v>21.0</v>
      </c>
      <c r="BU15" s="35">
        <v>2.0</v>
      </c>
      <c r="BV15" s="35">
        <v>0.0</v>
      </c>
      <c r="BW15" s="35">
        <v>1709.0</v>
      </c>
      <c r="BX15" s="35">
        <v>1170.0</v>
      </c>
      <c r="BY15" s="35">
        <v>230.0</v>
      </c>
      <c r="BZ15" s="226">
        <v>15510.0</v>
      </c>
      <c r="CA15" s="226">
        <v>5829.0</v>
      </c>
      <c r="CB15" s="226">
        <v>85677.0</v>
      </c>
      <c r="CC15" s="226">
        <v>5177.0</v>
      </c>
      <c r="CD15" s="218"/>
    </row>
    <row r="16" ht="14.25" customHeight="1">
      <c r="A16" s="181" t="s">
        <v>155</v>
      </c>
      <c r="B16" s="182">
        <v>865.0</v>
      </c>
      <c r="C16" s="182" t="s">
        <v>163</v>
      </c>
      <c r="D16" s="183">
        <v>237594.0</v>
      </c>
      <c r="E16" s="183">
        <v>144890.0</v>
      </c>
      <c r="F16" s="183">
        <f t="shared" si="1"/>
        <v>92704</v>
      </c>
      <c r="G16" s="185">
        <v>92120.0</v>
      </c>
      <c r="H16" s="114">
        <v>136825.0</v>
      </c>
      <c r="I16" s="183">
        <v>148544.0</v>
      </c>
      <c r="J16" s="183">
        <v>75831.0</v>
      </c>
      <c r="K16" s="183">
        <f t="shared" si="2"/>
        <v>72713</v>
      </c>
      <c r="L16" s="183">
        <f t="shared" si="3"/>
        <v>237595</v>
      </c>
      <c r="M16" s="183">
        <f>113831+51385</f>
        <v>165216</v>
      </c>
      <c r="N16" s="274">
        <f t="shared" si="4"/>
        <v>0.6953710952</v>
      </c>
      <c r="O16" s="183">
        <f>9038+13671</f>
        <v>22709</v>
      </c>
      <c r="P16" s="274">
        <f t="shared" si="5"/>
        <v>0.09557901294</v>
      </c>
      <c r="Q16" s="183">
        <f>32+26</f>
        <v>58</v>
      </c>
      <c r="R16" s="274">
        <f t="shared" si="6"/>
        <v>0.0002441139086</v>
      </c>
      <c r="S16" s="183">
        <f>25643+23968</f>
        <v>49611</v>
      </c>
      <c r="T16" s="274">
        <f t="shared" si="7"/>
        <v>0.2088057779</v>
      </c>
      <c r="U16" s="183">
        <v>0.0</v>
      </c>
      <c r="V16" s="183">
        <v>0.0</v>
      </c>
      <c r="W16" s="30">
        <v>53383.0</v>
      </c>
      <c r="X16" s="347">
        <f t="shared" si="8"/>
        <v>0.5794941381</v>
      </c>
      <c r="Y16" s="185">
        <v>15107.0</v>
      </c>
      <c r="Z16" s="201">
        <f t="shared" si="9"/>
        <v>0.1639926183</v>
      </c>
      <c r="AA16" s="185">
        <v>0.0</v>
      </c>
      <c r="AB16" s="201">
        <f t="shared" si="10"/>
        <v>0</v>
      </c>
      <c r="AC16" s="185">
        <v>23630.0</v>
      </c>
      <c r="AD16" s="201">
        <f t="shared" si="11"/>
        <v>0.2565132436</v>
      </c>
      <c r="AE16" s="185">
        <v>106490.0</v>
      </c>
      <c r="AF16" s="201">
        <f t="shared" si="12"/>
        <v>0.7782934405</v>
      </c>
      <c r="AG16" s="185">
        <v>6598.0</v>
      </c>
      <c r="AH16" s="201">
        <f t="shared" si="13"/>
        <v>0.04822218162</v>
      </c>
      <c r="AI16" s="185">
        <v>26.0</v>
      </c>
      <c r="AJ16" s="201">
        <f t="shared" si="14"/>
        <v>0.000190023753</v>
      </c>
      <c r="AK16" s="185">
        <v>23711.0</v>
      </c>
      <c r="AL16" s="201">
        <f t="shared" si="15"/>
        <v>0.1732943541</v>
      </c>
      <c r="AM16" s="35">
        <v>14726.0</v>
      </c>
      <c r="AN16" s="35">
        <v>10011.0</v>
      </c>
      <c r="AO16" s="183">
        <v>4715.0</v>
      </c>
      <c r="AP16" s="183">
        <v>82177.0</v>
      </c>
      <c r="AQ16" s="183">
        <v>49744.0</v>
      </c>
      <c r="AR16" s="183">
        <f t="shared" si="16"/>
        <v>32433</v>
      </c>
      <c r="AS16" s="35">
        <v>140691.0</v>
      </c>
      <c r="AT16" s="35">
        <v>85135.0</v>
      </c>
      <c r="AU16" s="183">
        <v>55556.0</v>
      </c>
      <c r="AV16" s="183">
        <v>40242.0</v>
      </c>
      <c r="AW16" s="183">
        <v>29816.0</v>
      </c>
      <c r="AX16" s="183">
        <f t="shared" si="17"/>
        <v>10426</v>
      </c>
      <c r="AY16" s="183">
        <v>149895.0</v>
      </c>
      <c r="AZ16" s="183">
        <v>90067.0</v>
      </c>
      <c r="BA16" s="183">
        <f t="shared" si="18"/>
        <v>59828</v>
      </c>
      <c r="BB16" s="183">
        <v>6242.0</v>
      </c>
      <c r="BC16" s="183">
        <v>3513.0</v>
      </c>
      <c r="BD16" s="183">
        <f t="shared" si="19"/>
        <v>2729</v>
      </c>
      <c r="BE16" s="183">
        <v>9006.0</v>
      </c>
      <c r="BF16" s="183">
        <v>5167.0</v>
      </c>
      <c r="BG16" s="183">
        <f t="shared" si="20"/>
        <v>3839</v>
      </c>
      <c r="BH16" s="183">
        <v>14742.0</v>
      </c>
      <c r="BI16" s="183">
        <v>7437.0</v>
      </c>
      <c r="BJ16" s="183">
        <f t="shared" si="21"/>
        <v>7305</v>
      </c>
      <c r="BK16" s="183">
        <v>10941.0</v>
      </c>
      <c r="BL16" s="190">
        <f t="shared" si="22"/>
        <v>0.04604914266</v>
      </c>
      <c r="BM16" s="183">
        <v>5111.0</v>
      </c>
      <c r="BN16" s="274">
        <f t="shared" si="26"/>
        <v>0.4671419431</v>
      </c>
      <c r="BO16" s="183">
        <f t="shared" si="23"/>
        <v>5830</v>
      </c>
      <c r="BP16" s="35">
        <v>879.0</v>
      </c>
      <c r="BQ16" s="35">
        <v>8943.0</v>
      </c>
      <c r="BR16" s="350">
        <f t="shared" si="27"/>
        <v>0.8173841514</v>
      </c>
      <c r="BS16" s="35">
        <v>32.0</v>
      </c>
      <c r="BT16" s="35">
        <v>22.0</v>
      </c>
      <c r="BU16" s="35">
        <v>2.0</v>
      </c>
      <c r="BV16" s="35">
        <v>1063.0</v>
      </c>
      <c r="BW16" s="35">
        <v>3914.0</v>
      </c>
      <c r="BX16" s="35">
        <v>6116.0</v>
      </c>
      <c r="BY16" s="35">
        <v>911.0</v>
      </c>
      <c r="BZ16" s="226">
        <v>16876.0</v>
      </c>
      <c r="CA16" s="226">
        <v>4837.0</v>
      </c>
      <c r="CB16" s="226">
        <v>85402.0</v>
      </c>
      <c r="CC16" s="226">
        <v>4890.0</v>
      </c>
      <c r="CD16" s="218"/>
    </row>
    <row r="17" ht="14.25" customHeight="1">
      <c r="A17" s="181" t="s">
        <v>159</v>
      </c>
      <c r="B17" s="182">
        <v>869.0</v>
      </c>
      <c r="C17" s="182" t="s">
        <v>164</v>
      </c>
      <c r="D17" s="183">
        <v>100137.0</v>
      </c>
      <c r="E17" s="183">
        <v>88104.0</v>
      </c>
      <c r="F17" s="183">
        <f t="shared" si="1"/>
        <v>12033</v>
      </c>
      <c r="G17" s="185">
        <v>66039.0</v>
      </c>
      <c r="H17" s="35">
        <v>32878.0</v>
      </c>
      <c r="I17" s="183">
        <v>51947.0</v>
      </c>
      <c r="J17" s="183">
        <v>43183.0</v>
      </c>
      <c r="K17" s="183">
        <f t="shared" si="2"/>
        <v>8764</v>
      </c>
      <c r="L17" s="183">
        <f t="shared" si="3"/>
        <v>100138</v>
      </c>
      <c r="M17" s="183">
        <f>36592+29735</f>
        <v>66327</v>
      </c>
      <c r="N17" s="274">
        <f t="shared" si="4"/>
        <v>0.6623625633</v>
      </c>
      <c r="O17" s="183">
        <f>6854+9153</f>
        <v>16007</v>
      </c>
      <c r="P17" s="274">
        <f t="shared" si="5"/>
        <v>0.1598510041</v>
      </c>
      <c r="Q17" s="183">
        <f>2869+3448</f>
        <v>6317</v>
      </c>
      <c r="R17" s="274">
        <f t="shared" si="6"/>
        <v>0.0630835755</v>
      </c>
      <c r="S17" s="183">
        <f>5632+5854</f>
        <v>11486</v>
      </c>
      <c r="T17" s="274">
        <f t="shared" si="7"/>
        <v>0.1147028571</v>
      </c>
      <c r="U17" s="183">
        <v>0.0</v>
      </c>
      <c r="V17" s="183">
        <v>0.0</v>
      </c>
      <c r="W17" s="30">
        <v>40935.0</v>
      </c>
      <c r="X17" s="347">
        <f t="shared" si="8"/>
        <v>0.6198609912</v>
      </c>
      <c r="Y17" s="185">
        <v>12032.0</v>
      </c>
      <c r="Z17" s="201">
        <f t="shared" si="9"/>
        <v>0.1821953694</v>
      </c>
      <c r="AA17" s="185">
        <v>5011.0</v>
      </c>
      <c r="AB17" s="201">
        <f t="shared" si="10"/>
        <v>0.07587940459</v>
      </c>
      <c r="AC17" s="185">
        <v>8061.0</v>
      </c>
      <c r="AD17" s="201">
        <f t="shared" si="11"/>
        <v>0.1220642348</v>
      </c>
      <c r="AE17" s="185">
        <v>24693.0</v>
      </c>
      <c r="AF17" s="201">
        <f t="shared" si="12"/>
        <v>0.7510493339</v>
      </c>
      <c r="AG17" s="185">
        <v>3783.0</v>
      </c>
      <c r="AH17" s="201">
        <f t="shared" si="13"/>
        <v>0.1150617434</v>
      </c>
      <c r="AI17" s="185">
        <v>1124.0</v>
      </c>
      <c r="AJ17" s="201">
        <f t="shared" si="14"/>
        <v>0.03418699434</v>
      </c>
      <c r="AK17" s="185">
        <v>3278.0</v>
      </c>
      <c r="AL17" s="201">
        <f t="shared" si="15"/>
        <v>0.09970192834</v>
      </c>
      <c r="AM17" s="35">
        <v>15821.0</v>
      </c>
      <c r="AN17" s="35">
        <v>14871.0</v>
      </c>
      <c r="AO17" s="183">
        <v>950.0</v>
      </c>
      <c r="AP17" s="183">
        <v>27867.0</v>
      </c>
      <c r="AQ17" s="183">
        <v>24693.0</v>
      </c>
      <c r="AR17" s="183">
        <f t="shared" si="16"/>
        <v>3174</v>
      </c>
      <c r="AS17" s="35">
        <v>56449.0</v>
      </c>
      <c r="AT17" s="35">
        <v>48540.0</v>
      </c>
      <c r="AU17" s="183">
        <v>7909.0</v>
      </c>
      <c r="AV17" s="183">
        <v>17578.0</v>
      </c>
      <c r="AW17" s="183">
        <v>16580.0</v>
      </c>
      <c r="AX17" s="183">
        <f t="shared" si="17"/>
        <v>998</v>
      </c>
      <c r="AY17" s="183">
        <v>57338.0</v>
      </c>
      <c r="AZ17" s="183">
        <v>49696.0</v>
      </c>
      <c r="BA17" s="183">
        <f t="shared" si="18"/>
        <v>7642</v>
      </c>
      <c r="BB17" s="183">
        <v>2343.0</v>
      </c>
      <c r="BC17" s="183">
        <v>1999.0</v>
      </c>
      <c r="BD17" s="183">
        <f t="shared" si="19"/>
        <v>344</v>
      </c>
      <c r="BE17" s="183">
        <v>3106.0</v>
      </c>
      <c r="BF17" s="183">
        <v>2559.0</v>
      </c>
      <c r="BG17" s="183">
        <f t="shared" si="20"/>
        <v>547</v>
      </c>
      <c r="BH17" s="183">
        <v>12881.0</v>
      </c>
      <c r="BI17" s="183">
        <v>11210.0</v>
      </c>
      <c r="BJ17" s="183">
        <f t="shared" si="21"/>
        <v>1671</v>
      </c>
      <c r="BK17" s="183">
        <v>2059.0</v>
      </c>
      <c r="BL17" s="190">
        <f t="shared" si="22"/>
        <v>0.02056183029</v>
      </c>
      <c r="BM17" s="183">
        <v>1782.0</v>
      </c>
      <c r="BN17" s="274">
        <f t="shared" si="26"/>
        <v>0.8654686741</v>
      </c>
      <c r="BO17" s="183">
        <f t="shared" si="23"/>
        <v>277</v>
      </c>
      <c r="BP17" s="35">
        <v>1017.0</v>
      </c>
      <c r="BQ17" s="185">
        <v>1027.0</v>
      </c>
      <c r="BR17" s="208">
        <f t="shared" si="27"/>
        <v>0.4987858184</v>
      </c>
      <c r="BS17" s="185">
        <v>15.0</v>
      </c>
      <c r="BT17" s="185">
        <v>0.0</v>
      </c>
      <c r="BU17" s="185">
        <v>0.0</v>
      </c>
      <c r="BV17" s="185">
        <v>0.0</v>
      </c>
      <c r="BW17" s="185">
        <v>602.0</v>
      </c>
      <c r="BX17" s="35">
        <v>532.0</v>
      </c>
      <c r="BY17" s="35">
        <v>925.0</v>
      </c>
      <c r="BZ17" s="226">
        <v>2945.0</v>
      </c>
      <c r="CA17" s="226">
        <v>1166.0</v>
      </c>
      <c r="CB17" s="226">
        <v>19821.0</v>
      </c>
      <c r="CC17" s="226">
        <v>834.0</v>
      </c>
      <c r="CD17" s="352"/>
    </row>
    <row r="18" ht="14.25" customHeight="1">
      <c r="A18" s="181" t="s">
        <v>159</v>
      </c>
      <c r="B18" s="182">
        <v>834.0</v>
      </c>
      <c r="C18" s="182" t="s">
        <v>165</v>
      </c>
      <c r="D18" s="183">
        <v>167106.0</v>
      </c>
      <c r="E18" s="183">
        <v>127430.0</v>
      </c>
      <c r="F18" s="183">
        <f t="shared" si="1"/>
        <v>39676</v>
      </c>
      <c r="G18" s="185">
        <v>97116.0</v>
      </c>
      <c r="H18" s="35">
        <v>68031.0</v>
      </c>
      <c r="I18" s="183">
        <v>80327.0</v>
      </c>
      <c r="J18" s="183">
        <v>52245.0</v>
      </c>
      <c r="K18" s="183">
        <f t="shared" si="2"/>
        <v>28082</v>
      </c>
      <c r="L18" s="183">
        <f t="shared" si="3"/>
        <v>167107</v>
      </c>
      <c r="M18" s="183">
        <f>70367+69070</f>
        <v>139437</v>
      </c>
      <c r="N18" s="274">
        <f t="shared" si="4"/>
        <v>0.8344224624</v>
      </c>
      <c r="O18" s="183">
        <f>3931+3790</f>
        <v>7721</v>
      </c>
      <c r="P18" s="274">
        <f t="shared" si="5"/>
        <v>0.04620420571</v>
      </c>
      <c r="Q18" s="183">
        <f>2561+7006</f>
        <v>9567</v>
      </c>
      <c r="R18" s="274">
        <f t="shared" si="6"/>
        <v>0.05725108614</v>
      </c>
      <c r="S18" s="183">
        <f>3468+6913</f>
        <v>10381</v>
      </c>
      <c r="T18" s="274">
        <f t="shared" si="7"/>
        <v>0.06212224576</v>
      </c>
      <c r="U18" s="183">
        <v>0.0</v>
      </c>
      <c r="V18" s="183">
        <v>0.0</v>
      </c>
      <c r="W18" s="30">
        <v>77488.0</v>
      </c>
      <c r="X18" s="347">
        <f t="shared" si="8"/>
        <v>0.7978911817</v>
      </c>
      <c r="Y18" s="185">
        <v>4677.0</v>
      </c>
      <c r="Z18" s="201">
        <f t="shared" si="9"/>
        <v>0.04815890276</v>
      </c>
      <c r="AA18" s="185">
        <v>8210.0</v>
      </c>
      <c r="AB18" s="201">
        <f t="shared" si="10"/>
        <v>0.08453807817</v>
      </c>
      <c r="AC18" s="185">
        <v>6741.0</v>
      </c>
      <c r="AD18" s="201">
        <f t="shared" si="11"/>
        <v>0.06941183739</v>
      </c>
      <c r="AE18" s="185">
        <v>60609.0</v>
      </c>
      <c r="AF18" s="201">
        <f t="shared" si="12"/>
        <v>0.8909026767</v>
      </c>
      <c r="AG18" s="185">
        <v>2806.0</v>
      </c>
      <c r="AH18" s="201">
        <f t="shared" si="13"/>
        <v>0.0412459026</v>
      </c>
      <c r="AI18" s="185">
        <v>1234.0</v>
      </c>
      <c r="AJ18" s="201">
        <f t="shared" si="14"/>
        <v>0.01813878967</v>
      </c>
      <c r="AK18" s="185">
        <v>3382.0</v>
      </c>
      <c r="AL18" s="201">
        <f t="shared" si="15"/>
        <v>0.04971263101</v>
      </c>
      <c r="AM18" s="35">
        <v>18187.0</v>
      </c>
      <c r="AN18" s="35">
        <v>15627.0</v>
      </c>
      <c r="AO18" s="183">
        <v>2560.0</v>
      </c>
      <c r="AP18" s="183">
        <v>61812.0</v>
      </c>
      <c r="AQ18" s="183">
        <v>47655.0</v>
      </c>
      <c r="AR18" s="183">
        <f t="shared" si="16"/>
        <v>14157</v>
      </c>
      <c r="AS18" s="35">
        <v>87107.0</v>
      </c>
      <c r="AT18" s="35">
        <v>64148.0</v>
      </c>
      <c r="AU18" s="183">
        <v>22959.0</v>
      </c>
      <c r="AV18" s="183">
        <v>3959.0</v>
      </c>
      <c r="AW18" s="183">
        <v>3341.0</v>
      </c>
      <c r="AX18" s="183">
        <f t="shared" si="17"/>
        <v>618</v>
      </c>
      <c r="AY18" s="183">
        <v>95581.0</v>
      </c>
      <c r="AZ18" s="183">
        <v>75521.0</v>
      </c>
      <c r="BA18" s="183">
        <f t="shared" si="18"/>
        <v>20060</v>
      </c>
      <c r="BB18" s="183">
        <v>1846.0</v>
      </c>
      <c r="BC18" s="183">
        <v>1485.0</v>
      </c>
      <c r="BD18" s="183">
        <f t="shared" si="19"/>
        <v>361</v>
      </c>
      <c r="BE18" s="183">
        <v>13857.0</v>
      </c>
      <c r="BF18" s="183">
        <v>9712.0</v>
      </c>
      <c r="BG18" s="183">
        <f t="shared" si="20"/>
        <v>4145</v>
      </c>
      <c r="BH18" s="183">
        <v>6618.0</v>
      </c>
      <c r="BI18" s="183">
        <v>3848.0</v>
      </c>
      <c r="BJ18" s="183">
        <f t="shared" si="21"/>
        <v>2770</v>
      </c>
      <c r="BK18" s="183">
        <v>38147.0</v>
      </c>
      <c r="BL18" s="349">
        <f t="shared" si="22"/>
        <v>0.2282802533</v>
      </c>
      <c r="BM18" s="183">
        <v>27431.0</v>
      </c>
      <c r="BN18" s="274">
        <f t="shared" si="26"/>
        <v>0.719086691</v>
      </c>
      <c r="BO18" s="183">
        <f t="shared" si="23"/>
        <v>10716</v>
      </c>
      <c r="BP18" s="35">
        <v>9396.0</v>
      </c>
      <c r="BQ18" s="35">
        <v>28291.0</v>
      </c>
      <c r="BR18" s="208">
        <f t="shared" si="27"/>
        <v>0.7416310588</v>
      </c>
      <c r="BS18" s="35">
        <v>77.0</v>
      </c>
      <c r="BT18" s="35">
        <v>4.0</v>
      </c>
      <c r="BU18" s="35">
        <v>267.0</v>
      </c>
      <c r="BV18" s="35">
        <v>112.0</v>
      </c>
      <c r="BW18" s="35">
        <v>22762.0</v>
      </c>
      <c r="BX18" s="35">
        <v>14318.0</v>
      </c>
      <c r="BY18" s="35">
        <v>1067.0</v>
      </c>
      <c r="BZ18" s="226">
        <v>736.0</v>
      </c>
      <c r="CA18" s="226">
        <v>601.0</v>
      </c>
      <c r="CB18" s="226">
        <v>28108.0</v>
      </c>
      <c r="CC18" s="226">
        <v>3515.0</v>
      </c>
      <c r="CD18" s="218"/>
    </row>
    <row r="19" ht="14.25" customHeight="1">
      <c r="A19" s="181" t="s">
        <v>153</v>
      </c>
      <c r="B19" s="182">
        <v>841.0</v>
      </c>
      <c r="C19" s="182" t="s">
        <v>166</v>
      </c>
      <c r="D19" s="183">
        <v>210418.0</v>
      </c>
      <c r="E19" s="183">
        <v>167148.0</v>
      </c>
      <c r="F19" s="183">
        <f t="shared" si="1"/>
        <v>43270</v>
      </c>
      <c r="G19" s="185">
        <v>116000.0</v>
      </c>
      <c r="H19" s="35">
        <v>34422.0</v>
      </c>
      <c r="I19" s="183">
        <v>83121.0</v>
      </c>
      <c r="J19" s="183">
        <v>56309.0</v>
      </c>
      <c r="K19" s="183">
        <f t="shared" si="2"/>
        <v>26812</v>
      </c>
      <c r="L19" s="183">
        <f t="shared" si="3"/>
        <v>210419</v>
      </c>
      <c r="M19" s="183">
        <f>27917+31514</f>
        <v>59431</v>
      </c>
      <c r="N19" s="274">
        <f t="shared" si="4"/>
        <v>0.2824425667</v>
      </c>
      <c r="O19" s="183">
        <f>3386+10375</f>
        <v>13761</v>
      </c>
      <c r="P19" s="274">
        <f t="shared" si="5"/>
        <v>0.06539839748</v>
      </c>
      <c r="Q19" s="183">
        <f>23338+21307</f>
        <v>44645</v>
      </c>
      <c r="R19" s="274">
        <f t="shared" si="6"/>
        <v>0.212172913</v>
      </c>
      <c r="S19" s="183">
        <f>28480+64101</f>
        <v>92581</v>
      </c>
      <c r="T19" s="274">
        <f t="shared" si="7"/>
        <v>0.4399861229</v>
      </c>
      <c r="U19" s="183">
        <v>0.0</v>
      </c>
      <c r="V19" s="183">
        <v>0.0</v>
      </c>
      <c r="W19" s="30">
        <v>21521.0</v>
      </c>
      <c r="X19" s="347">
        <f t="shared" si="8"/>
        <v>0.1855258621</v>
      </c>
      <c r="Y19" s="185">
        <v>10096.0</v>
      </c>
      <c r="Z19" s="201">
        <f t="shared" si="9"/>
        <v>0.08703448276</v>
      </c>
      <c r="AA19" s="185">
        <v>28477.0</v>
      </c>
      <c r="AB19" s="201">
        <f t="shared" si="10"/>
        <v>0.2454913793</v>
      </c>
      <c r="AC19" s="185">
        <v>55906.0</v>
      </c>
      <c r="AD19" s="201">
        <f t="shared" si="11"/>
        <v>0.4819482759</v>
      </c>
      <c r="AE19" s="185">
        <v>20669.0</v>
      </c>
      <c r="AF19" s="201">
        <f t="shared" si="12"/>
        <v>0.6004590088</v>
      </c>
      <c r="AG19" s="185">
        <v>761.0</v>
      </c>
      <c r="AH19" s="201">
        <f t="shared" si="13"/>
        <v>0.02210795422</v>
      </c>
      <c r="AI19" s="185">
        <v>4534.0</v>
      </c>
      <c r="AJ19" s="201">
        <f t="shared" si="14"/>
        <v>0.1317180873</v>
      </c>
      <c r="AK19" s="185">
        <v>8458.0</v>
      </c>
      <c r="AL19" s="201">
        <f t="shared" si="15"/>
        <v>0.2457149497</v>
      </c>
      <c r="AM19" s="35">
        <v>46714.0</v>
      </c>
      <c r="AN19" s="35">
        <v>42093.0</v>
      </c>
      <c r="AO19" s="183">
        <v>4621.0</v>
      </c>
      <c r="AP19" s="183">
        <v>102439.0</v>
      </c>
      <c r="AQ19" s="183">
        <v>82526.0</v>
      </c>
      <c r="AR19" s="183">
        <f t="shared" si="16"/>
        <v>19913</v>
      </c>
      <c r="AS19" s="35">
        <v>61265.0</v>
      </c>
      <c r="AT19" s="35">
        <v>42529.0</v>
      </c>
      <c r="AU19" s="183">
        <v>18736.0</v>
      </c>
      <c r="AV19" s="183">
        <v>42045.0</v>
      </c>
      <c r="AW19" s="183">
        <v>36631.0</v>
      </c>
      <c r="AX19" s="183">
        <f t="shared" si="17"/>
        <v>5414</v>
      </c>
      <c r="AY19" s="183">
        <v>60716.0</v>
      </c>
      <c r="AZ19" s="183">
        <v>40382.0</v>
      </c>
      <c r="BA19" s="183">
        <f t="shared" si="18"/>
        <v>20334</v>
      </c>
      <c r="BB19" s="183">
        <v>3978.0</v>
      </c>
      <c r="BC19" s="183">
        <v>3057.0</v>
      </c>
      <c r="BD19" s="183">
        <f t="shared" si="19"/>
        <v>921</v>
      </c>
      <c r="BE19" s="183">
        <v>2018.0</v>
      </c>
      <c r="BF19" s="183">
        <v>1328.0</v>
      </c>
      <c r="BG19" s="183">
        <f t="shared" si="20"/>
        <v>690</v>
      </c>
      <c r="BH19" s="183">
        <v>57781.0</v>
      </c>
      <c r="BI19" s="183">
        <v>52202.0</v>
      </c>
      <c r="BJ19" s="183">
        <f t="shared" si="21"/>
        <v>5579</v>
      </c>
      <c r="BK19" s="183">
        <v>28919.0</v>
      </c>
      <c r="BL19" s="190">
        <f t="shared" si="22"/>
        <v>0.1374359608</v>
      </c>
      <c r="BM19" s="183">
        <v>21064.0</v>
      </c>
      <c r="BN19" s="274">
        <f t="shared" si="26"/>
        <v>0.7283792662</v>
      </c>
      <c r="BO19" s="183">
        <f t="shared" si="23"/>
        <v>7855</v>
      </c>
      <c r="BP19" s="35">
        <v>3369.0</v>
      </c>
      <c r="BQ19" s="35">
        <v>3820.0</v>
      </c>
      <c r="BR19" s="68">
        <f t="shared" si="27"/>
        <v>0.1320930876</v>
      </c>
      <c r="BS19" s="35">
        <v>157.0</v>
      </c>
      <c r="BT19" s="35">
        <v>210.0</v>
      </c>
      <c r="BU19" s="35">
        <v>68.0</v>
      </c>
      <c r="BV19" s="35">
        <v>21295.0</v>
      </c>
      <c r="BW19" s="35">
        <v>23131.0</v>
      </c>
      <c r="BX19" s="35">
        <v>4105.0</v>
      </c>
      <c r="BY19" s="35">
        <v>1683.0</v>
      </c>
      <c r="BZ19" s="226">
        <v>2289.0</v>
      </c>
      <c r="CA19" s="226">
        <v>859.0</v>
      </c>
      <c r="CB19" s="226">
        <v>22394.0</v>
      </c>
      <c r="CC19" s="226">
        <v>653.0</v>
      </c>
      <c r="CD19" s="218"/>
    </row>
    <row r="20" ht="14.25" customHeight="1">
      <c r="A20" s="181" t="s">
        <v>159</v>
      </c>
      <c r="B20" s="182">
        <v>862.0</v>
      </c>
      <c r="C20" s="182" t="s">
        <v>167</v>
      </c>
      <c r="D20" s="183">
        <v>431386.0</v>
      </c>
      <c r="E20" s="183">
        <v>246055.0</v>
      </c>
      <c r="F20" s="183">
        <f t="shared" si="1"/>
        <v>185331</v>
      </c>
      <c r="G20" s="185">
        <v>189346.0</v>
      </c>
      <c r="H20" s="114">
        <v>189512.0</v>
      </c>
      <c r="I20" s="183">
        <v>251204.0</v>
      </c>
      <c r="J20" s="183">
        <v>123328.0</v>
      </c>
      <c r="K20" s="183">
        <f t="shared" si="2"/>
        <v>127876</v>
      </c>
      <c r="L20" s="183">
        <f t="shared" si="3"/>
        <v>431387</v>
      </c>
      <c r="M20" s="183">
        <f>59688+21585</f>
        <v>81273</v>
      </c>
      <c r="N20" s="274">
        <f t="shared" si="4"/>
        <v>0.1883997163</v>
      </c>
      <c r="O20" s="183">
        <f>22973+27144</f>
        <v>50117</v>
      </c>
      <c r="P20" s="274">
        <f t="shared" si="5"/>
        <v>0.1161766956</v>
      </c>
      <c r="Q20" s="183">
        <f>6938+9367</f>
        <v>16305</v>
      </c>
      <c r="R20" s="274">
        <f t="shared" si="6"/>
        <v>0.03779677597</v>
      </c>
      <c r="S20" s="183">
        <f>161605+122086</f>
        <v>283691</v>
      </c>
      <c r="T20" s="274">
        <f t="shared" si="7"/>
        <v>0.6576268122</v>
      </c>
      <c r="U20" s="183">
        <v>0.0</v>
      </c>
      <c r="V20" s="183">
        <v>0.0</v>
      </c>
      <c r="W20" s="30">
        <v>15923.0</v>
      </c>
      <c r="X20" s="347">
        <f t="shared" si="8"/>
        <v>0.08409472606</v>
      </c>
      <c r="Y20" s="185">
        <v>26891.0</v>
      </c>
      <c r="Z20" s="201">
        <f t="shared" si="9"/>
        <v>0.1420204282</v>
      </c>
      <c r="AA20" s="185">
        <v>7550.0</v>
      </c>
      <c r="AB20" s="201">
        <f t="shared" si="10"/>
        <v>0.03987409293</v>
      </c>
      <c r="AC20" s="185">
        <v>138982.0</v>
      </c>
      <c r="AD20" s="201">
        <f t="shared" si="11"/>
        <v>0.7340107528</v>
      </c>
      <c r="AE20" s="185">
        <v>57254.0</v>
      </c>
      <c r="AF20" s="201">
        <f t="shared" si="12"/>
        <v>0.302112795</v>
      </c>
      <c r="AG20" s="185">
        <v>15770.0</v>
      </c>
      <c r="AH20" s="201">
        <f t="shared" si="13"/>
        <v>0.08321372789</v>
      </c>
      <c r="AI20" s="185">
        <v>5049.0</v>
      </c>
      <c r="AJ20" s="201">
        <f t="shared" si="14"/>
        <v>0.02664211237</v>
      </c>
      <c r="AK20" s="185">
        <v>111439.0</v>
      </c>
      <c r="AL20" s="201">
        <f t="shared" si="15"/>
        <v>0.5880313648</v>
      </c>
      <c r="AM20" s="35">
        <v>116296.0</v>
      </c>
      <c r="AN20" s="35">
        <v>78225.0</v>
      </c>
      <c r="AO20" s="183">
        <v>38071.0</v>
      </c>
      <c r="AP20" s="183">
        <v>173129.0</v>
      </c>
      <c r="AQ20" s="183">
        <v>96415.0</v>
      </c>
      <c r="AR20" s="183">
        <f t="shared" si="16"/>
        <v>76714</v>
      </c>
      <c r="AS20" s="35">
        <v>141961.0</v>
      </c>
      <c r="AT20" s="35">
        <v>71415.0</v>
      </c>
      <c r="AU20" s="183">
        <v>70546.0</v>
      </c>
      <c r="AV20" s="183">
        <v>142258.0</v>
      </c>
      <c r="AW20" s="183">
        <v>104240.0</v>
      </c>
      <c r="AX20" s="183">
        <f t="shared" si="17"/>
        <v>38018</v>
      </c>
      <c r="AY20" s="183">
        <v>189134.0</v>
      </c>
      <c r="AZ20" s="183">
        <v>90917.0</v>
      </c>
      <c r="BA20" s="183">
        <f t="shared" si="18"/>
        <v>98217</v>
      </c>
      <c r="BB20" s="183">
        <v>40218.0</v>
      </c>
      <c r="BC20" s="183">
        <v>25492.0</v>
      </c>
      <c r="BD20" s="183">
        <f t="shared" si="19"/>
        <v>14726</v>
      </c>
      <c r="BE20" s="183">
        <v>13811.0</v>
      </c>
      <c r="BF20" s="183">
        <v>6268.0</v>
      </c>
      <c r="BG20" s="183">
        <f t="shared" si="20"/>
        <v>7543</v>
      </c>
      <c r="BH20" s="183">
        <v>21663.0</v>
      </c>
      <c r="BI20" s="183">
        <v>8630.0</v>
      </c>
      <c r="BJ20" s="183">
        <f t="shared" si="21"/>
        <v>13033</v>
      </c>
      <c r="BK20" s="183">
        <v>9199.0</v>
      </c>
      <c r="BL20" s="190">
        <f t="shared" si="22"/>
        <v>0.02132428962</v>
      </c>
      <c r="BM20" s="183">
        <v>3012.0</v>
      </c>
      <c r="BN20" s="353">
        <f t="shared" si="26"/>
        <v>0.3274268942</v>
      </c>
      <c r="BO20" s="183">
        <f t="shared" si="23"/>
        <v>6187</v>
      </c>
      <c r="BP20" s="35">
        <v>1590.0</v>
      </c>
      <c r="BQ20" s="35">
        <v>6389.0</v>
      </c>
      <c r="BR20" s="208">
        <f t="shared" si="27"/>
        <v>0.6945320143</v>
      </c>
      <c r="BS20" s="35">
        <v>117.0</v>
      </c>
      <c r="BT20" s="35">
        <v>1101.0</v>
      </c>
      <c r="BU20" s="35">
        <v>1.0</v>
      </c>
      <c r="BV20" s="35">
        <v>1.0</v>
      </c>
      <c r="BW20" s="35">
        <v>1350.0</v>
      </c>
      <c r="BX20" s="35">
        <v>1647.0</v>
      </c>
      <c r="BY20" s="35">
        <v>6202.0</v>
      </c>
      <c r="BZ20" s="226">
        <v>25572.0</v>
      </c>
      <c r="CA20" s="226">
        <v>10972.0</v>
      </c>
      <c r="CB20" s="226">
        <v>113906.0</v>
      </c>
      <c r="CC20" s="226">
        <v>7886.0</v>
      </c>
      <c r="CD20" s="218"/>
    </row>
    <row r="21" ht="14.25" customHeight="1">
      <c r="A21" s="181" t="s">
        <v>148</v>
      </c>
      <c r="B21" s="182">
        <v>928.0</v>
      </c>
      <c r="C21" s="182" t="s">
        <v>168</v>
      </c>
      <c r="D21" s="183">
        <v>268473.0</v>
      </c>
      <c r="E21" s="183">
        <v>200211.0</v>
      </c>
      <c r="F21" s="183">
        <f t="shared" si="1"/>
        <v>68262</v>
      </c>
      <c r="G21" s="185">
        <v>74671.0</v>
      </c>
      <c r="H21" s="35">
        <v>67961.0</v>
      </c>
      <c r="I21" s="183">
        <v>213285.0</v>
      </c>
      <c r="J21" s="183">
        <v>156638.0</v>
      </c>
      <c r="K21" s="183">
        <f t="shared" si="2"/>
        <v>56647</v>
      </c>
      <c r="L21" s="183">
        <f t="shared" si="3"/>
        <v>268474</v>
      </c>
      <c r="M21" s="183">
        <f>103820+22343</f>
        <v>126163</v>
      </c>
      <c r="N21" s="274">
        <f t="shared" si="4"/>
        <v>0.4699280747</v>
      </c>
      <c r="O21" s="183">
        <f>9094+2609</f>
        <v>11703</v>
      </c>
      <c r="P21" s="274">
        <f t="shared" si="5"/>
        <v>0.04359097563</v>
      </c>
      <c r="Q21" s="183">
        <f>1892+483</f>
        <v>2375</v>
      </c>
      <c r="R21" s="274">
        <f t="shared" si="6"/>
        <v>0.008846327191</v>
      </c>
      <c r="S21" s="183">
        <f>98479+29753</f>
        <v>128232</v>
      </c>
      <c r="T21" s="274">
        <f t="shared" si="7"/>
        <v>0.4776346225</v>
      </c>
      <c r="U21" s="183">
        <v>0.0</v>
      </c>
      <c r="V21" s="183">
        <v>0.0</v>
      </c>
      <c r="W21" s="30">
        <v>24397.0</v>
      </c>
      <c r="X21" s="347">
        <f t="shared" si="8"/>
        <v>0.3267265739</v>
      </c>
      <c r="Y21" s="185">
        <v>8160.0</v>
      </c>
      <c r="Z21" s="201">
        <f t="shared" si="9"/>
        <v>0.1092793722</v>
      </c>
      <c r="AA21" s="185">
        <v>1576.0</v>
      </c>
      <c r="AB21" s="201">
        <f t="shared" si="10"/>
        <v>0.02110591796</v>
      </c>
      <c r="AC21" s="185">
        <v>40538.0</v>
      </c>
      <c r="AD21" s="201">
        <f t="shared" si="11"/>
        <v>0.542888136</v>
      </c>
      <c r="AE21" s="185">
        <v>36536.0</v>
      </c>
      <c r="AF21" s="201">
        <f t="shared" si="12"/>
        <v>0.5376024485</v>
      </c>
      <c r="AG21" s="185">
        <v>1953.0</v>
      </c>
      <c r="AH21" s="201">
        <f t="shared" si="13"/>
        <v>0.02873706979</v>
      </c>
      <c r="AI21" s="185">
        <v>421.0</v>
      </c>
      <c r="AJ21" s="201">
        <f t="shared" si="14"/>
        <v>0.00619472933</v>
      </c>
      <c r="AK21" s="185">
        <v>29051.0</v>
      </c>
      <c r="AL21" s="201">
        <f t="shared" si="15"/>
        <v>0.4274657524</v>
      </c>
      <c r="AM21" s="35">
        <v>58486.0</v>
      </c>
      <c r="AN21" s="35">
        <v>46993.0</v>
      </c>
      <c r="AO21" s="183">
        <v>11493.0</v>
      </c>
      <c r="AP21" s="183">
        <v>107367.0</v>
      </c>
      <c r="AQ21" s="183">
        <v>80978.0</v>
      </c>
      <c r="AR21" s="183">
        <f t="shared" si="16"/>
        <v>26389</v>
      </c>
      <c r="AS21" s="35">
        <v>102620.0</v>
      </c>
      <c r="AT21" s="35">
        <v>72240.0</v>
      </c>
      <c r="AU21" s="183">
        <v>30380.0</v>
      </c>
      <c r="AV21" s="183">
        <v>66563.0</v>
      </c>
      <c r="AW21" s="183">
        <v>53212.0</v>
      </c>
      <c r="AX21" s="183">
        <f t="shared" si="17"/>
        <v>13351</v>
      </c>
      <c r="AY21" s="183">
        <v>153938.0</v>
      </c>
      <c r="AZ21" s="183">
        <v>111283.0</v>
      </c>
      <c r="BA21" s="183">
        <f t="shared" si="18"/>
        <v>42655</v>
      </c>
      <c r="BB21" s="183">
        <v>15832.0</v>
      </c>
      <c r="BC21" s="183">
        <v>12204.0</v>
      </c>
      <c r="BD21" s="183">
        <f t="shared" si="19"/>
        <v>3628</v>
      </c>
      <c r="BE21" s="183">
        <v>7550.0</v>
      </c>
      <c r="BF21" s="183">
        <v>5516.0</v>
      </c>
      <c r="BG21" s="183">
        <f t="shared" si="20"/>
        <v>2034</v>
      </c>
      <c r="BH21" s="183">
        <v>17764.0</v>
      </c>
      <c r="BI21" s="183">
        <v>12985.0</v>
      </c>
      <c r="BJ21" s="183">
        <f t="shared" si="21"/>
        <v>4779</v>
      </c>
      <c r="BK21" s="183">
        <v>385.0</v>
      </c>
      <c r="BL21" s="190">
        <f t="shared" si="22"/>
        <v>0.001434036197</v>
      </c>
      <c r="BM21" s="183">
        <v>326.0</v>
      </c>
      <c r="BN21" s="274">
        <f t="shared" si="26"/>
        <v>0.8467532468</v>
      </c>
      <c r="BO21" s="183">
        <f t="shared" si="23"/>
        <v>59</v>
      </c>
      <c r="BP21" s="35">
        <v>43.0</v>
      </c>
      <c r="BQ21" s="35">
        <v>268.0</v>
      </c>
      <c r="BR21" s="208">
        <f t="shared" si="27"/>
        <v>0.6961038961</v>
      </c>
      <c r="BS21" s="35">
        <v>2.0</v>
      </c>
      <c r="BT21" s="35">
        <v>11.0</v>
      </c>
      <c r="BU21" s="35">
        <v>0.0</v>
      </c>
      <c r="BV21" s="35">
        <v>61.0</v>
      </c>
      <c r="BW21" s="35">
        <v>141.0</v>
      </c>
      <c r="BX21" s="35">
        <v>232.0</v>
      </c>
      <c r="BY21" s="35">
        <v>12.0</v>
      </c>
      <c r="BZ21" s="226">
        <v>7881.0</v>
      </c>
      <c r="CA21" s="226">
        <v>3231.0</v>
      </c>
      <c r="CB21" s="226">
        <v>47074.0</v>
      </c>
      <c r="CC21" s="226">
        <v>1602.0</v>
      </c>
      <c r="CD21" s="218"/>
    </row>
    <row r="22" ht="14.25" customHeight="1">
      <c r="A22" s="181" t="s">
        <v>148</v>
      </c>
      <c r="B22" s="182">
        <v>844.0</v>
      </c>
      <c r="C22" s="182" t="s">
        <v>169</v>
      </c>
      <c r="D22" s="183">
        <v>6155.0</v>
      </c>
      <c r="E22" s="183">
        <v>5301.0</v>
      </c>
      <c r="F22" s="183">
        <f t="shared" si="1"/>
        <v>854</v>
      </c>
      <c r="G22" s="185">
        <v>4361.0</v>
      </c>
      <c r="H22" s="35">
        <v>1593.0</v>
      </c>
      <c r="I22" s="183">
        <v>3122.0</v>
      </c>
      <c r="J22" s="183">
        <v>2564.0</v>
      </c>
      <c r="K22" s="183">
        <f t="shared" si="2"/>
        <v>558</v>
      </c>
      <c r="L22" s="183">
        <f t="shared" si="3"/>
        <v>6156</v>
      </c>
      <c r="M22" s="183">
        <f>202+150</f>
        <v>352</v>
      </c>
      <c r="N22" s="274">
        <f t="shared" si="4"/>
        <v>0.05718927701</v>
      </c>
      <c r="O22" s="183">
        <f>11+49</f>
        <v>60</v>
      </c>
      <c r="P22" s="274">
        <f t="shared" si="5"/>
        <v>0.009748172218</v>
      </c>
      <c r="Q22" s="183">
        <f>2892+2799</f>
        <v>5691</v>
      </c>
      <c r="R22" s="274">
        <f t="shared" si="6"/>
        <v>0.9246141348</v>
      </c>
      <c r="S22" s="183">
        <f>17+35</f>
        <v>52</v>
      </c>
      <c r="T22" s="274">
        <f t="shared" si="7"/>
        <v>0.008448415922</v>
      </c>
      <c r="U22" s="183">
        <v>0.0</v>
      </c>
      <c r="V22" s="183">
        <v>0.0</v>
      </c>
      <c r="W22" s="30">
        <v>21.0</v>
      </c>
      <c r="X22" s="347">
        <f t="shared" si="8"/>
        <v>0.00481540931</v>
      </c>
      <c r="Y22" s="185">
        <v>31.0</v>
      </c>
      <c r="Z22" s="201">
        <f t="shared" si="9"/>
        <v>0.007108461362</v>
      </c>
      <c r="AA22" s="185">
        <v>4289.0</v>
      </c>
      <c r="AB22" s="201">
        <f t="shared" si="10"/>
        <v>0.9834900252</v>
      </c>
      <c r="AC22" s="185">
        <v>20.0</v>
      </c>
      <c r="AD22" s="201">
        <f t="shared" si="11"/>
        <v>0.004586104105</v>
      </c>
      <c r="AE22" s="2">
        <v>283.0</v>
      </c>
      <c r="AF22" s="201">
        <f t="shared" si="12"/>
        <v>0.1776522285</v>
      </c>
      <c r="AG22" s="2">
        <v>8.0</v>
      </c>
      <c r="AH22" s="201">
        <f t="shared" si="13"/>
        <v>0.005021971124</v>
      </c>
      <c r="AI22" s="185">
        <v>1295.0</v>
      </c>
      <c r="AJ22" s="201">
        <f t="shared" si="14"/>
        <v>0.8129315756</v>
      </c>
      <c r="AK22" s="185">
        <v>7.0</v>
      </c>
      <c r="AL22" s="201">
        <f t="shared" si="15"/>
        <v>0.004394224733</v>
      </c>
      <c r="AM22" s="35">
        <v>1861.0</v>
      </c>
      <c r="AN22" s="35">
        <v>1687.0</v>
      </c>
      <c r="AO22" s="183">
        <v>174.0</v>
      </c>
      <c r="AP22" s="183">
        <v>1992.0</v>
      </c>
      <c r="AQ22" s="183">
        <v>1689.0</v>
      </c>
      <c r="AR22" s="183">
        <f t="shared" si="16"/>
        <v>303</v>
      </c>
      <c r="AS22" s="35">
        <v>2302.0</v>
      </c>
      <c r="AT22" s="35">
        <v>1925.0</v>
      </c>
      <c r="AU22" s="183">
        <v>377.0</v>
      </c>
      <c r="AV22" s="183">
        <v>813.0</v>
      </c>
      <c r="AW22" s="183">
        <v>735.0</v>
      </c>
      <c r="AX22" s="183">
        <f t="shared" si="17"/>
        <v>78</v>
      </c>
      <c r="AY22" s="183">
        <v>2593.0</v>
      </c>
      <c r="AZ22" s="183">
        <v>2202.0</v>
      </c>
      <c r="BA22" s="183">
        <f t="shared" si="18"/>
        <v>391</v>
      </c>
      <c r="BB22" s="183">
        <v>384.0</v>
      </c>
      <c r="BC22" s="183">
        <v>355.0</v>
      </c>
      <c r="BD22" s="183">
        <f t="shared" si="19"/>
        <v>29</v>
      </c>
      <c r="BE22" s="183">
        <v>186.0</v>
      </c>
      <c r="BF22" s="183">
        <v>152.0</v>
      </c>
      <c r="BG22" s="183">
        <f t="shared" si="20"/>
        <v>34</v>
      </c>
      <c r="BH22" s="183">
        <v>309.0</v>
      </c>
      <c r="BI22" s="183">
        <v>257.0</v>
      </c>
      <c r="BJ22" s="183">
        <f t="shared" si="21"/>
        <v>52</v>
      </c>
      <c r="BK22" s="183">
        <v>1529.0</v>
      </c>
      <c r="BL22" s="349">
        <f t="shared" si="22"/>
        <v>0.248415922</v>
      </c>
      <c r="BM22" s="183">
        <v>1286.0</v>
      </c>
      <c r="BN22" s="274">
        <f t="shared" si="26"/>
        <v>0.8410725965</v>
      </c>
      <c r="BO22" s="183">
        <f t="shared" si="23"/>
        <v>243</v>
      </c>
      <c r="BP22" s="35">
        <v>823.0</v>
      </c>
      <c r="BQ22" s="35">
        <v>628.0</v>
      </c>
      <c r="BR22" s="208">
        <f t="shared" si="27"/>
        <v>0.4107259647</v>
      </c>
      <c r="BS22" s="35">
        <v>26.0</v>
      </c>
      <c r="BT22" s="35">
        <v>52.0</v>
      </c>
      <c r="BU22" s="35">
        <v>0.0</v>
      </c>
      <c r="BV22" s="35">
        <v>0.0</v>
      </c>
      <c r="BW22" s="35">
        <v>1012.0</v>
      </c>
      <c r="BX22" s="35">
        <v>356.0</v>
      </c>
      <c r="BY22" s="35">
        <v>161.0</v>
      </c>
      <c r="BZ22" s="226">
        <v>107.0</v>
      </c>
      <c r="CA22" s="226">
        <v>39.0</v>
      </c>
      <c r="CB22" s="226">
        <v>513.0</v>
      </c>
      <c r="CC22" s="226">
        <v>33.0</v>
      </c>
      <c r="CD22" s="218"/>
    </row>
    <row r="23" ht="14.25" customHeight="1">
      <c r="A23" s="181" t="s">
        <v>146</v>
      </c>
      <c r="B23" s="182">
        <v>851.0</v>
      </c>
      <c r="C23" s="182" t="s">
        <v>170</v>
      </c>
      <c r="D23" s="183">
        <v>806.0</v>
      </c>
      <c r="E23" s="183">
        <v>806.0</v>
      </c>
      <c r="F23" s="183">
        <f t="shared" si="1"/>
        <v>0</v>
      </c>
      <c r="G23" s="185">
        <v>775.0</v>
      </c>
      <c r="H23" s="185">
        <v>0.0</v>
      </c>
      <c r="I23" s="183">
        <v>423.0</v>
      </c>
      <c r="J23" s="183">
        <v>423.0</v>
      </c>
      <c r="K23" s="183">
        <f t="shared" si="2"/>
        <v>0</v>
      </c>
      <c r="L23" s="183">
        <f t="shared" si="3"/>
        <v>807</v>
      </c>
      <c r="M23" s="183">
        <f>4+13</f>
        <v>17</v>
      </c>
      <c r="N23" s="274">
        <f t="shared" si="4"/>
        <v>0.02109181141</v>
      </c>
      <c r="O23" s="183">
        <f>7+4</f>
        <v>11</v>
      </c>
      <c r="P23" s="274">
        <f t="shared" si="5"/>
        <v>0.01364764268</v>
      </c>
      <c r="Q23" s="183">
        <f>406+357</f>
        <v>763</v>
      </c>
      <c r="R23" s="274">
        <f t="shared" si="6"/>
        <v>0.9466501241</v>
      </c>
      <c r="S23" s="183">
        <f>6+9</f>
        <v>15</v>
      </c>
      <c r="T23" s="274">
        <f t="shared" si="7"/>
        <v>0.01861042184</v>
      </c>
      <c r="U23" s="183">
        <v>0.0</v>
      </c>
      <c r="V23" s="183">
        <v>0.0</v>
      </c>
      <c r="W23" s="185">
        <v>7.0</v>
      </c>
      <c r="X23" s="347">
        <f t="shared" si="8"/>
        <v>0.009032258065</v>
      </c>
      <c r="Y23" s="185">
        <v>2.0</v>
      </c>
      <c r="Z23" s="201">
        <f t="shared" si="9"/>
        <v>0.002580645161</v>
      </c>
      <c r="AA23" s="185">
        <v>757.0</v>
      </c>
      <c r="AB23" s="201">
        <f t="shared" si="10"/>
        <v>0.9767741935</v>
      </c>
      <c r="AC23" s="185">
        <v>9.0</v>
      </c>
      <c r="AD23" s="201">
        <f t="shared" si="11"/>
        <v>0.01161290323</v>
      </c>
      <c r="AE23" s="185">
        <v>0.0</v>
      </c>
      <c r="AF23" s="201">
        <v>0.0</v>
      </c>
      <c r="AG23" s="185">
        <v>0.0</v>
      </c>
      <c r="AH23" s="201">
        <v>0.0</v>
      </c>
      <c r="AI23" s="185">
        <v>0.0</v>
      </c>
      <c r="AJ23" s="201">
        <v>0.0</v>
      </c>
      <c r="AK23" s="185">
        <v>0.0</v>
      </c>
      <c r="AL23" s="201">
        <v>0.0</v>
      </c>
      <c r="AM23" s="35">
        <v>310.0</v>
      </c>
      <c r="AN23" s="35">
        <v>310.0</v>
      </c>
      <c r="AO23" s="183">
        <v>0.0</v>
      </c>
      <c r="AP23" s="183">
        <v>215.0</v>
      </c>
      <c r="AQ23" s="183">
        <v>215.0</v>
      </c>
      <c r="AR23" s="183">
        <f t="shared" si="16"/>
        <v>0</v>
      </c>
      <c r="AS23" s="35">
        <v>281.0</v>
      </c>
      <c r="AT23" s="35">
        <v>281.0</v>
      </c>
      <c r="AU23" s="183">
        <v>0.0</v>
      </c>
      <c r="AV23" s="183">
        <v>237.0</v>
      </c>
      <c r="AW23" s="183">
        <v>237.0</v>
      </c>
      <c r="AX23" s="183">
        <f t="shared" si="17"/>
        <v>0</v>
      </c>
      <c r="AY23" s="183">
        <v>386.0</v>
      </c>
      <c r="AZ23" s="183">
        <v>386.0</v>
      </c>
      <c r="BA23" s="183">
        <f t="shared" si="18"/>
        <v>0</v>
      </c>
      <c r="BB23" s="183">
        <v>32.0</v>
      </c>
      <c r="BC23" s="183">
        <v>32.0</v>
      </c>
      <c r="BD23" s="183">
        <f t="shared" si="19"/>
        <v>0</v>
      </c>
      <c r="BE23" s="183">
        <v>31.0</v>
      </c>
      <c r="BF23" s="183">
        <v>31.0</v>
      </c>
      <c r="BG23" s="183">
        <f t="shared" si="20"/>
        <v>0</v>
      </c>
      <c r="BH23" s="183">
        <v>50.0</v>
      </c>
      <c r="BI23" s="183">
        <v>50.0</v>
      </c>
      <c r="BJ23" s="183">
        <f t="shared" si="21"/>
        <v>0</v>
      </c>
      <c r="BK23" s="183">
        <v>4.0</v>
      </c>
      <c r="BL23" s="190">
        <f t="shared" si="22"/>
        <v>0.004962779156</v>
      </c>
      <c r="BM23" s="183">
        <v>4.0</v>
      </c>
      <c r="BN23" s="274">
        <f t="shared" si="26"/>
        <v>1</v>
      </c>
      <c r="BO23" s="183">
        <f t="shared" si="23"/>
        <v>0</v>
      </c>
      <c r="BP23" s="35">
        <v>4.0</v>
      </c>
      <c r="BQ23" s="185">
        <v>0.0</v>
      </c>
      <c r="BR23" s="208">
        <f t="shared" si="27"/>
        <v>0</v>
      </c>
      <c r="BS23" s="185">
        <v>0.0</v>
      </c>
      <c r="BT23" s="185">
        <v>0.0</v>
      </c>
      <c r="BU23" s="185">
        <v>0.0</v>
      </c>
      <c r="BV23" s="185">
        <v>0.0</v>
      </c>
      <c r="BW23" s="185">
        <v>0.0</v>
      </c>
      <c r="BX23" s="35">
        <v>1.0</v>
      </c>
      <c r="BY23" s="35">
        <v>3.0</v>
      </c>
      <c r="BZ23" s="185">
        <v>0.0</v>
      </c>
      <c r="CA23" s="185">
        <v>0.0</v>
      </c>
      <c r="CB23" s="185">
        <v>0.0</v>
      </c>
      <c r="CC23" s="185">
        <v>0.0</v>
      </c>
      <c r="CD23" s="352"/>
    </row>
    <row r="24" ht="14.25" customHeight="1">
      <c r="A24" s="181" t="s">
        <v>155</v>
      </c>
      <c r="B24" s="182">
        <v>771.0</v>
      </c>
      <c r="C24" s="182" t="s">
        <v>171</v>
      </c>
      <c r="D24" s="183">
        <v>601208.0</v>
      </c>
      <c r="E24" s="183">
        <v>388780.0</v>
      </c>
      <c r="F24" s="183">
        <f t="shared" si="1"/>
        <v>212428</v>
      </c>
      <c r="G24" s="185">
        <v>233190.0</v>
      </c>
      <c r="H24" s="35">
        <v>286418.0</v>
      </c>
      <c r="I24" s="183">
        <v>283227.0</v>
      </c>
      <c r="J24" s="183">
        <v>145998.0</v>
      </c>
      <c r="K24" s="183">
        <f t="shared" si="2"/>
        <v>137229</v>
      </c>
      <c r="L24" s="183">
        <f t="shared" si="3"/>
        <v>601209</v>
      </c>
      <c r="M24" s="183">
        <f>138554+113197</f>
        <v>251751</v>
      </c>
      <c r="N24" s="274">
        <f t="shared" si="4"/>
        <v>0.4187419329</v>
      </c>
      <c r="O24" s="183">
        <f>26667+45372</f>
        <v>72039</v>
      </c>
      <c r="P24" s="274">
        <f t="shared" si="5"/>
        <v>0.1198237548</v>
      </c>
      <c r="Q24" s="183">
        <f>22650+42073</f>
        <v>64723</v>
      </c>
      <c r="R24" s="274">
        <f t="shared" si="6"/>
        <v>0.1076549214</v>
      </c>
      <c r="S24" s="183">
        <f>95356+117339</f>
        <v>212695</v>
      </c>
      <c r="T24" s="274">
        <f t="shared" si="7"/>
        <v>0.3537793908</v>
      </c>
      <c r="U24" s="183">
        <v>0.0</v>
      </c>
      <c r="V24" s="183">
        <v>0.0</v>
      </c>
      <c r="W24" s="185">
        <v>88746.0</v>
      </c>
      <c r="X24" s="347">
        <f t="shared" si="8"/>
        <v>0.380573781</v>
      </c>
      <c r="Y24" s="185">
        <v>41923.0</v>
      </c>
      <c r="Z24" s="201">
        <f t="shared" si="9"/>
        <v>0.1797804366</v>
      </c>
      <c r="AA24" s="185">
        <v>24118.0</v>
      </c>
      <c r="AB24" s="201">
        <f t="shared" si="10"/>
        <v>0.1034263905</v>
      </c>
      <c r="AC24" s="185">
        <v>78403.0</v>
      </c>
      <c r="AD24" s="201">
        <f t="shared" si="11"/>
        <v>0.3362193919</v>
      </c>
      <c r="AE24" s="185">
        <v>144181.0</v>
      </c>
      <c r="AF24" s="201">
        <f t="shared" ref="AF24:AF41" si="28">AE24/H24</f>
        <v>0.5033936415</v>
      </c>
      <c r="AG24" s="185">
        <v>21933.0</v>
      </c>
      <c r="AH24" s="201">
        <f t="shared" ref="AH24:AH41" si="29">AG24/H24</f>
        <v>0.07657689112</v>
      </c>
      <c r="AI24" s="185">
        <v>9664.0</v>
      </c>
      <c r="AJ24" s="201">
        <f t="shared" ref="AJ24:AJ41" si="30">AI24/H24</f>
        <v>0.03374089617</v>
      </c>
      <c r="AK24" s="185">
        <v>110640.0</v>
      </c>
      <c r="AL24" s="201">
        <f t="shared" ref="AL24:AL41" si="31">AK24/H24</f>
        <v>0.3862885712</v>
      </c>
      <c r="AM24" s="35">
        <v>88669.0</v>
      </c>
      <c r="AN24" s="35">
        <v>67609.0</v>
      </c>
      <c r="AO24" s="183">
        <v>21060.0</v>
      </c>
      <c r="AP24" s="183">
        <v>251610.0</v>
      </c>
      <c r="AQ24" s="183">
        <v>164319.0</v>
      </c>
      <c r="AR24" s="183">
        <f t="shared" si="16"/>
        <v>87291</v>
      </c>
      <c r="AS24" s="35">
        <v>260929.0</v>
      </c>
      <c r="AT24" s="35">
        <v>156852.0</v>
      </c>
      <c r="AU24" s="183">
        <v>104077.0</v>
      </c>
      <c r="AV24" s="183">
        <v>263921.0</v>
      </c>
      <c r="AW24" s="183">
        <v>210693.0</v>
      </c>
      <c r="AX24" s="183">
        <f t="shared" si="17"/>
        <v>53228</v>
      </c>
      <c r="AY24" s="183">
        <v>185650.0</v>
      </c>
      <c r="AZ24" s="183">
        <v>96976.0</v>
      </c>
      <c r="BA24" s="183">
        <f t="shared" si="18"/>
        <v>88674</v>
      </c>
      <c r="BB24" s="183">
        <v>22189.0</v>
      </c>
      <c r="BC24" s="183">
        <v>13593.0</v>
      </c>
      <c r="BD24" s="183">
        <f t="shared" si="19"/>
        <v>8596</v>
      </c>
      <c r="BE24" s="183">
        <v>6866.0</v>
      </c>
      <c r="BF24" s="183">
        <v>3048.0</v>
      </c>
      <c r="BG24" s="183">
        <f t="shared" si="20"/>
        <v>3818</v>
      </c>
      <c r="BH24" s="183">
        <v>20377.0</v>
      </c>
      <c r="BI24" s="183">
        <v>10231.0</v>
      </c>
      <c r="BJ24" s="183">
        <f t="shared" si="21"/>
        <v>10146</v>
      </c>
      <c r="BK24" s="183">
        <v>64819.0</v>
      </c>
      <c r="BL24" s="190">
        <f t="shared" si="22"/>
        <v>0.1078145999</v>
      </c>
      <c r="BM24" s="183">
        <v>31794.0</v>
      </c>
      <c r="BN24" s="274">
        <f t="shared" si="26"/>
        <v>0.4905043274</v>
      </c>
      <c r="BO24" s="183">
        <f t="shared" si="23"/>
        <v>33025</v>
      </c>
      <c r="BP24" s="35">
        <v>2160.0</v>
      </c>
      <c r="BQ24" s="35">
        <v>57774.0</v>
      </c>
      <c r="BR24" s="350">
        <f t="shared" si="27"/>
        <v>0.8913127324</v>
      </c>
      <c r="BS24" s="35">
        <v>1185.0</v>
      </c>
      <c r="BT24" s="35">
        <v>637.0</v>
      </c>
      <c r="BU24" s="35">
        <v>3000.0</v>
      </c>
      <c r="BV24" s="35">
        <v>63.0</v>
      </c>
      <c r="BW24" s="35">
        <v>40840.0</v>
      </c>
      <c r="BX24" s="35">
        <v>21954.0</v>
      </c>
      <c r="BY24" s="35">
        <v>2025.0</v>
      </c>
      <c r="BZ24" s="226">
        <v>76168.0</v>
      </c>
      <c r="CA24" s="226">
        <v>13391.0</v>
      </c>
      <c r="CB24" s="226">
        <v>93477.0</v>
      </c>
      <c r="CC24" s="226">
        <v>2800.0</v>
      </c>
      <c r="CD24" s="218"/>
    </row>
    <row r="25" ht="14.25" customHeight="1">
      <c r="A25" s="181" t="s">
        <v>150</v>
      </c>
      <c r="B25" s="182">
        <v>928.0</v>
      </c>
      <c r="C25" s="182" t="s">
        <v>172</v>
      </c>
      <c r="D25" s="183">
        <v>748589.0</v>
      </c>
      <c r="E25" s="183">
        <v>423150.0</v>
      </c>
      <c r="F25" s="183">
        <f t="shared" si="1"/>
        <v>325439</v>
      </c>
      <c r="G25" s="185">
        <v>232553.0</v>
      </c>
      <c r="H25" s="114">
        <v>215300.0</v>
      </c>
      <c r="I25" s="183">
        <v>362393.0</v>
      </c>
      <c r="J25" s="183">
        <v>155744.0</v>
      </c>
      <c r="K25" s="183">
        <f t="shared" si="2"/>
        <v>206649</v>
      </c>
      <c r="L25" s="183">
        <f t="shared" si="3"/>
        <v>748590</v>
      </c>
      <c r="M25" s="183">
        <f>213801+165144</f>
        <v>378945</v>
      </c>
      <c r="N25" s="274">
        <f t="shared" si="4"/>
        <v>0.5062123542</v>
      </c>
      <c r="O25" s="183">
        <f>34201+46455</f>
        <v>80656</v>
      </c>
      <c r="P25" s="274">
        <f t="shared" si="5"/>
        <v>0.1077440358</v>
      </c>
      <c r="Q25" s="183">
        <f>13486+32537</f>
        <v>46023</v>
      </c>
      <c r="R25" s="274">
        <f t="shared" si="6"/>
        <v>0.06147966374</v>
      </c>
      <c r="S25" s="183">
        <f>100905+142060</f>
        <v>242965</v>
      </c>
      <c r="T25" s="274">
        <f t="shared" si="7"/>
        <v>0.3245639463</v>
      </c>
      <c r="U25" s="183">
        <v>0.0</v>
      </c>
      <c r="V25" s="183">
        <v>0.0</v>
      </c>
      <c r="W25" s="185">
        <v>85400.0</v>
      </c>
      <c r="X25" s="347">
        <f t="shared" si="8"/>
        <v>0.3672281157</v>
      </c>
      <c r="Y25" s="185">
        <v>29404.0</v>
      </c>
      <c r="Z25" s="201">
        <f t="shared" si="9"/>
        <v>0.1264399943</v>
      </c>
      <c r="AA25" s="185">
        <v>22908.0</v>
      </c>
      <c r="AB25" s="201">
        <f t="shared" si="10"/>
        <v>0.098506577</v>
      </c>
      <c r="AC25" s="185">
        <v>94841.0</v>
      </c>
      <c r="AD25" s="201">
        <f t="shared" si="11"/>
        <v>0.4078253129</v>
      </c>
      <c r="AE25" s="185">
        <v>146547.0</v>
      </c>
      <c r="AF25" s="201">
        <f t="shared" si="28"/>
        <v>0.6806641895</v>
      </c>
      <c r="AG25" s="185">
        <v>17339.0</v>
      </c>
      <c r="AH25" s="201">
        <f t="shared" si="29"/>
        <v>0.08053413841</v>
      </c>
      <c r="AI25" s="185">
        <v>3715.0</v>
      </c>
      <c r="AJ25" s="201">
        <f t="shared" si="30"/>
        <v>0.01725499303</v>
      </c>
      <c r="AK25" s="185">
        <v>47699.0</v>
      </c>
      <c r="AL25" s="201">
        <f t="shared" si="31"/>
        <v>0.2215466791</v>
      </c>
      <c r="AM25" s="35">
        <v>143631.0</v>
      </c>
      <c r="AN25" s="35">
        <v>79172.0</v>
      </c>
      <c r="AO25" s="183">
        <v>64459.0</v>
      </c>
      <c r="AP25" s="183">
        <v>358492.0</v>
      </c>
      <c r="AQ25" s="183">
        <v>213313.0</v>
      </c>
      <c r="AR25" s="183">
        <f t="shared" si="16"/>
        <v>145179</v>
      </c>
      <c r="AS25" s="35">
        <v>246466.0</v>
      </c>
      <c r="AT25" s="35">
        <v>130665.0</v>
      </c>
      <c r="AU25" s="183">
        <v>115801.0</v>
      </c>
      <c r="AV25" s="183">
        <v>306625.0</v>
      </c>
      <c r="AW25" s="183">
        <v>202944.0</v>
      </c>
      <c r="AX25" s="183">
        <f t="shared" si="17"/>
        <v>103681</v>
      </c>
      <c r="AY25" s="183">
        <v>357383.0</v>
      </c>
      <c r="AZ25" s="183">
        <v>183464.0</v>
      </c>
      <c r="BA25" s="183">
        <f t="shared" si="18"/>
        <v>173919</v>
      </c>
      <c r="BB25" s="183">
        <v>6832.0</v>
      </c>
      <c r="BC25" s="183">
        <v>3357.0</v>
      </c>
      <c r="BD25" s="183">
        <f t="shared" si="19"/>
        <v>3475</v>
      </c>
      <c r="BE25" s="183">
        <v>18398.0</v>
      </c>
      <c r="BF25" s="183">
        <v>8679.0</v>
      </c>
      <c r="BG25" s="183">
        <f t="shared" si="20"/>
        <v>9719</v>
      </c>
      <c r="BH25" s="183">
        <v>23081.0</v>
      </c>
      <c r="BI25" s="183">
        <v>8778.0</v>
      </c>
      <c r="BJ25" s="183">
        <f t="shared" si="21"/>
        <v>14303</v>
      </c>
      <c r="BK25" s="183">
        <v>9793.0</v>
      </c>
      <c r="BL25" s="190">
        <f t="shared" si="22"/>
        <v>0.01308194483</v>
      </c>
      <c r="BM25" s="183">
        <v>3473.0</v>
      </c>
      <c r="BN25" s="353">
        <f t="shared" si="26"/>
        <v>0.3546410702</v>
      </c>
      <c r="BO25" s="183">
        <f t="shared" si="23"/>
        <v>6320</v>
      </c>
      <c r="BP25" s="35">
        <v>279.0</v>
      </c>
      <c r="BQ25" s="35">
        <v>8386.0</v>
      </c>
      <c r="BR25" s="350">
        <f t="shared" si="27"/>
        <v>0.8563259471</v>
      </c>
      <c r="BS25" s="35">
        <v>63.0</v>
      </c>
      <c r="BT25" s="35">
        <v>628.0</v>
      </c>
      <c r="BU25" s="35">
        <v>17.0</v>
      </c>
      <c r="BV25" s="35">
        <v>420.0</v>
      </c>
      <c r="BW25" s="35">
        <v>4722.0</v>
      </c>
      <c r="BX25" s="35">
        <v>3624.0</v>
      </c>
      <c r="BY25" s="35">
        <v>1447.0</v>
      </c>
      <c r="BZ25" s="226">
        <v>45582.0</v>
      </c>
      <c r="CA25" s="226">
        <v>2882.0</v>
      </c>
      <c r="CB25" s="226">
        <v>121118.0</v>
      </c>
      <c r="CC25" s="226">
        <v>7496.0</v>
      </c>
      <c r="CD25" s="218"/>
    </row>
    <row r="26" ht="14.25" customHeight="1">
      <c r="A26" s="181" t="s">
        <v>150</v>
      </c>
      <c r="B26" s="182">
        <v>741.0</v>
      </c>
      <c r="C26" s="182" t="s">
        <v>173</v>
      </c>
      <c r="D26" s="183">
        <v>42684.0</v>
      </c>
      <c r="E26" s="183">
        <v>32868.0</v>
      </c>
      <c r="F26" s="183">
        <f t="shared" si="1"/>
        <v>9816</v>
      </c>
      <c r="G26" s="185">
        <v>12184.0</v>
      </c>
      <c r="H26" s="114">
        <v>20784.0</v>
      </c>
      <c r="I26" s="183">
        <v>23180.0</v>
      </c>
      <c r="J26" s="183">
        <v>17393.0</v>
      </c>
      <c r="K26" s="183">
        <f t="shared" si="2"/>
        <v>5787</v>
      </c>
      <c r="L26" s="183">
        <f t="shared" si="3"/>
        <v>42685</v>
      </c>
      <c r="M26" s="183">
        <f>8492+6310</f>
        <v>14802</v>
      </c>
      <c r="N26" s="274">
        <f t="shared" si="4"/>
        <v>0.3467809952</v>
      </c>
      <c r="O26" s="183">
        <f>994+1016</f>
        <v>2010</v>
      </c>
      <c r="P26" s="274">
        <f t="shared" si="5"/>
        <v>0.04709024459</v>
      </c>
      <c r="Q26" s="183">
        <f>9395+7689</f>
        <v>17084</v>
      </c>
      <c r="R26" s="274">
        <f t="shared" si="6"/>
        <v>0.400243651</v>
      </c>
      <c r="S26" s="183">
        <f>4299+4489</f>
        <v>8788</v>
      </c>
      <c r="T26" s="274">
        <f t="shared" si="7"/>
        <v>0.2058851092</v>
      </c>
      <c r="U26" s="183">
        <v>0.0</v>
      </c>
      <c r="V26" s="183">
        <v>0.0</v>
      </c>
      <c r="W26" s="185">
        <v>5608.0</v>
      </c>
      <c r="X26" s="347">
        <f t="shared" si="8"/>
        <v>0.4602757715</v>
      </c>
      <c r="Y26" s="185">
        <v>541.0</v>
      </c>
      <c r="Z26" s="201">
        <f t="shared" si="9"/>
        <v>0.04440249508</v>
      </c>
      <c r="AA26" s="185">
        <v>3862.0</v>
      </c>
      <c r="AB26" s="201">
        <f t="shared" si="10"/>
        <v>0.3169730794</v>
      </c>
      <c r="AC26" s="185">
        <v>2173.0</v>
      </c>
      <c r="AD26" s="201">
        <f t="shared" si="11"/>
        <v>0.178348654</v>
      </c>
      <c r="AE26" s="185">
        <v>7007.0</v>
      </c>
      <c r="AF26" s="201">
        <f t="shared" si="28"/>
        <v>0.3371343341</v>
      </c>
      <c r="AG26" s="185">
        <v>1102.0</v>
      </c>
      <c r="AH26" s="201">
        <f t="shared" si="29"/>
        <v>0.05302155504</v>
      </c>
      <c r="AI26" s="185">
        <v>7447.0</v>
      </c>
      <c r="AJ26" s="201">
        <f t="shared" si="30"/>
        <v>0.358304465</v>
      </c>
      <c r="AK26" s="185">
        <v>5228.0</v>
      </c>
      <c r="AL26" s="201">
        <f t="shared" si="31"/>
        <v>0.2515396459</v>
      </c>
      <c r="AM26" s="35">
        <v>7443.0</v>
      </c>
      <c r="AN26" s="35">
        <v>6566.0</v>
      </c>
      <c r="AO26" s="183">
        <v>877.0</v>
      </c>
      <c r="AP26" s="183">
        <v>23371.0</v>
      </c>
      <c r="AQ26" s="183">
        <v>18276.0</v>
      </c>
      <c r="AR26" s="183">
        <f t="shared" si="16"/>
        <v>5095</v>
      </c>
      <c r="AS26" s="35">
        <v>11870.0</v>
      </c>
      <c r="AT26" s="35">
        <v>8026.0</v>
      </c>
      <c r="AU26" s="183">
        <v>3844.0</v>
      </c>
      <c r="AV26" s="183">
        <v>12040.0</v>
      </c>
      <c r="AW26" s="183">
        <v>9745.0</v>
      </c>
      <c r="AX26" s="183">
        <f t="shared" si="17"/>
        <v>2295</v>
      </c>
      <c r="AY26" s="183">
        <v>9608.0</v>
      </c>
      <c r="AZ26" s="183">
        <v>6746.0</v>
      </c>
      <c r="BA26" s="183">
        <f t="shared" si="18"/>
        <v>2862</v>
      </c>
      <c r="BB26" s="183">
        <v>1257.0</v>
      </c>
      <c r="BC26" s="183">
        <v>1021.0</v>
      </c>
      <c r="BD26" s="183">
        <f t="shared" si="19"/>
        <v>236</v>
      </c>
      <c r="BE26" s="183">
        <v>472.0</v>
      </c>
      <c r="BF26" s="183">
        <v>347.0</v>
      </c>
      <c r="BG26" s="183">
        <f t="shared" si="20"/>
        <v>125</v>
      </c>
      <c r="BH26" s="183">
        <v>5191.0</v>
      </c>
      <c r="BI26" s="183">
        <v>4124.0</v>
      </c>
      <c r="BJ26" s="183">
        <f t="shared" si="21"/>
        <v>1067</v>
      </c>
      <c r="BK26" s="183">
        <v>10429.0</v>
      </c>
      <c r="BL26" s="349">
        <f t="shared" si="22"/>
        <v>0.2443304283</v>
      </c>
      <c r="BM26" s="183">
        <v>7874.0</v>
      </c>
      <c r="BN26" s="274">
        <f t="shared" si="26"/>
        <v>0.7550100681</v>
      </c>
      <c r="BO26" s="183">
        <f t="shared" si="23"/>
        <v>2555</v>
      </c>
      <c r="BP26" s="35">
        <v>1905.0</v>
      </c>
      <c r="BQ26" s="35">
        <v>6838.0</v>
      </c>
      <c r="BR26" s="208">
        <f t="shared" si="27"/>
        <v>0.6556716847</v>
      </c>
      <c r="BS26" s="35">
        <v>540.0</v>
      </c>
      <c r="BT26" s="35">
        <v>564.0</v>
      </c>
      <c r="BU26" s="35">
        <v>47.0</v>
      </c>
      <c r="BV26" s="35">
        <v>535.0</v>
      </c>
      <c r="BW26" s="35">
        <v>3965.0</v>
      </c>
      <c r="BX26" s="35">
        <v>5367.0</v>
      </c>
      <c r="BY26" s="35">
        <v>1097.0</v>
      </c>
      <c r="BZ26" s="226">
        <v>4645.0</v>
      </c>
      <c r="CA26" s="226">
        <v>611.0</v>
      </c>
      <c r="CB26" s="226">
        <v>3469.0</v>
      </c>
      <c r="CC26" s="226">
        <v>183.0</v>
      </c>
      <c r="CD26" s="218"/>
    </row>
    <row r="27" ht="14.25" customHeight="1">
      <c r="A27" s="181" t="s">
        <v>155</v>
      </c>
      <c r="B27" s="182">
        <v>716.0</v>
      </c>
      <c r="C27" s="182" t="s">
        <v>174</v>
      </c>
      <c r="D27" s="183">
        <v>55160.0</v>
      </c>
      <c r="E27" s="183">
        <v>47175.0</v>
      </c>
      <c r="F27" s="183">
        <f t="shared" si="1"/>
        <v>7985</v>
      </c>
      <c r="G27" s="185">
        <v>22549.0</v>
      </c>
      <c r="H27" s="35">
        <v>12209.0</v>
      </c>
      <c r="I27" s="183">
        <v>32227.0</v>
      </c>
      <c r="J27" s="183">
        <v>26456.0</v>
      </c>
      <c r="K27" s="183">
        <f t="shared" si="2"/>
        <v>5771</v>
      </c>
      <c r="L27" s="183">
        <f t="shared" si="3"/>
        <v>55161</v>
      </c>
      <c r="M27" s="183">
        <f>2153+3129</f>
        <v>5282</v>
      </c>
      <c r="N27" s="274">
        <f t="shared" si="4"/>
        <v>0.0957577955</v>
      </c>
      <c r="O27" s="183">
        <f>260+399</f>
        <v>659</v>
      </c>
      <c r="P27" s="274">
        <f t="shared" si="5"/>
        <v>0.01194706309</v>
      </c>
      <c r="Q27" s="183">
        <f>29591+18901</f>
        <v>48492</v>
      </c>
      <c r="R27" s="274">
        <f t="shared" si="6"/>
        <v>0.8791153009</v>
      </c>
      <c r="S27" s="183">
        <f>223+504</f>
        <v>727</v>
      </c>
      <c r="T27" s="274">
        <f t="shared" si="7"/>
        <v>0.01317984046</v>
      </c>
      <c r="U27" s="183">
        <v>0.0</v>
      </c>
      <c r="V27" s="183">
        <v>0.0</v>
      </c>
      <c r="W27" s="185">
        <v>1012.0</v>
      </c>
      <c r="X27" s="347">
        <f t="shared" si="8"/>
        <v>0.04488003903</v>
      </c>
      <c r="Y27" s="185">
        <v>136.0</v>
      </c>
      <c r="Z27" s="201">
        <f t="shared" si="9"/>
        <v>0.006031309592</v>
      </c>
      <c r="AA27" s="185">
        <v>21265.0</v>
      </c>
      <c r="AB27" s="201">
        <f t="shared" si="10"/>
        <v>0.9430573418</v>
      </c>
      <c r="AC27" s="185">
        <v>136.0</v>
      </c>
      <c r="AD27" s="201">
        <f t="shared" si="11"/>
        <v>0.006031309592</v>
      </c>
      <c r="AE27" s="185">
        <v>1765.0</v>
      </c>
      <c r="AF27" s="201">
        <f t="shared" si="28"/>
        <v>0.1445654845</v>
      </c>
      <c r="AG27" s="185">
        <v>189.0</v>
      </c>
      <c r="AH27" s="201">
        <f t="shared" si="29"/>
        <v>0.01548038332</v>
      </c>
      <c r="AI27" s="185">
        <v>10081.0</v>
      </c>
      <c r="AJ27" s="201">
        <f t="shared" si="30"/>
        <v>0.8257023507</v>
      </c>
      <c r="AK27" s="185">
        <v>174.0</v>
      </c>
      <c r="AL27" s="201">
        <f t="shared" si="31"/>
        <v>0.01425178147</v>
      </c>
      <c r="AM27" s="35">
        <v>22288.0</v>
      </c>
      <c r="AN27" s="35">
        <v>20866.0</v>
      </c>
      <c r="AO27" s="183">
        <v>1422.0</v>
      </c>
      <c r="AP27" s="183">
        <v>24178.0</v>
      </c>
      <c r="AQ27" s="183">
        <v>20539.0</v>
      </c>
      <c r="AR27" s="183">
        <f t="shared" si="16"/>
        <v>3639</v>
      </c>
      <c r="AS27" s="35">
        <v>8694.0</v>
      </c>
      <c r="AT27" s="35">
        <v>5770.0</v>
      </c>
      <c r="AU27" s="183">
        <v>2924.0</v>
      </c>
      <c r="AV27" s="183">
        <v>12701.0</v>
      </c>
      <c r="AW27" s="183">
        <v>11726.0</v>
      </c>
      <c r="AX27" s="183">
        <f t="shared" si="17"/>
        <v>975</v>
      </c>
      <c r="AY27" s="183">
        <v>7502.0</v>
      </c>
      <c r="AZ27" s="183">
        <v>4982.0</v>
      </c>
      <c r="BA27" s="183">
        <f t="shared" si="18"/>
        <v>2520</v>
      </c>
      <c r="BB27" s="183">
        <v>969.0</v>
      </c>
      <c r="BC27" s="183">
        <v>871.0</v>
      </c>
      <c r="BD27" s="183">
        <f t="shared" si="19"/>
        <v>98</v>
      </c>
      <c r="BE27" s="183">
        <v>345.0</v>
      </c>
      <c r="BF27" s="183">
        <v>226.0</v>
      </c>
      <c r="BG27" s="183">
        <f t="shared" si="20"/>
        <v>119</v>
      </c>
      <c r="BH27" s="183">
        <v>3864.0</v>
      </c>
      <c r="BI27" s="183">
        <v>3315.0</v>
      </c>
      <c r="BJ27" s="183">
        <f t="shared" si="21"/>
        <v>549</v>
      </c>
      <c r="BK27" s="183">
        <v>20426.0</v>
      </c>
      <c r="BL27" s="349">
        <f t="shared" si="22"/>
        <v>0.3703045685</v>
      </c>
      <c r="BM27" s="183">
        <v>17530.0</v>
      </c>
      <c r="BN27" s="274">
        <f t="shared" si="26"/>
        <v>0.8582199158</v>
      </c>
      <c r="BO27" s="183">
        <f t="shared" si="23"/>
        <v>2896</v>
      </c>
      <c r="BP27" s="35">
        <v>5529.0</v>
      </c>
      <c r="BQ27" s="35">
        <v>6702.0</v>
      </c>
      <c r="BR27" s="208">
        <f t="shared" si="27"/>
        <v>0.3281112308</v>
      </c>
      <c r="BS27" s="35">
        <v>9.0</v>
      </c>
      <c r="BT27" s="35">
        <v>6802.0</v>
      </c>
      <c r="BU27" s="35">
        <v>0.0</v>
      </c>
      <c r="BV27" s="35">
        <v>1384.0</v>
      </c>
      <c r="BW27" s="35">
        <v>10304.0</v>
      </c>
      <c r="BX27" s="35">
        <v>1615.0</v>
      </c>
      <c r="BY27" s="35">
        <v>8507.0</v>
      </c>
      <c r="BZ27" s="226">
        <v>1275.0</v>
      </c>
      <c r="CA27" s="226">
        <v>209.0</v>
      </c>
      <c r="CB27" s="226">
        <v>1539.0</v>
      </c>
      <c r="CC27" s="226">
        <v>99.0</v>
      </c>
      <c r="CD27" s="218"/>
    </row>
    <row r="28" ht="14.25" customHeight="1">
      <c r="A28" s="181" t="s">
        <v>150</v>
      </c>
      <c r="B28" s="182">
        <v>765.0</v>
      </c>
      <c r="C28" s="182" t="s">
        <v>175</v>
      </c>
      <c r="D28" s="183">
        <v>23366.0</v>
      </c>
      <c r="E28" s="183">
        <v>13358.0</v>
      </c>
      <c r="F28" s="183">
        <f t="shared" si="1"/>
        <v>10008</v>
      </c>
      <c r="G28" s="185">
        <v>13357.0</v>
      </c>
      <c r="H28" s="35">
        <v>7375.0</v>
      </c>
      <c r="I28" s="183">
        <v>11010.0</v>
      </c>
      <c r="J28" s="183">
        <v>5497.0</v>
      </c>
      <c r="K28" s="183">
        <f t="shared" si="2"/>
        <v>5513</v>
      </c>
      <c r="L28" s="183">
        <f t="shared" si="3"/>
        <v>23367</v>
      </c>
      <c r="M28" s="183">
        <f>145+226</f>
        <v>371</v>
      </c>
      <c r="N28" s="274">
        <f t="shared" si="4"/>
        <v>0.01587777112</v>
      </c>
      <c r="O28" s="183">
        <f>55+70</f>
        <v>125</v>
      </c>
      <c r="P28" s="274">
        <f t="shared" si="5"/>
        <v>0.005349653342</v>
      </c>
      <c r="Q28" s="183">
        <f>10783+11958</f>
        <v>22741</v>
      </c>
      <c r="R28" s="274">
        <f t="shared" si="6"/>
        <v>0.9732517333</v>
      </c>
      <c r="S28" s="183">
        <f>27+102</f>
        <v>129</v>
      </c>
      <c r="T28" s="274">
        <f t="shared" si="7"/>
        <v>0.005520842249</v>
      </c>
      <c r="U28" s="183">
        <v>0.0</v>
      </c>
      <c r="V28" s="183">
        <v>0.0</v>
      </c>
      <c r="W28" s="185">
        <v>113.0</v>
      </c>
      <c r="X28" s="347">
        <f t="shared" si="8"/>
        <v>0.008459983529</v>
      </c>
      <c r="Y28" s="185">
        <v>31.0</v>
      </c>
      <c r="Z28" s="201">
        <f t="shared" si="9"/>
        <v>0.002320880437</v>
      </c>
      <c r="AA28" s="185">
        <v>13171.0</v>
      </c>
      <c r="AB28" s="201">
        <f t="shared" si="10"/>
        <v>0.9860747174</v>
      </c>
      <c r="AC28" s="185">
        <v>42.0</v>
      </c>
      <c r="AD28" s="201">
        <f t="shared" si="11"/>
        <v>0.003144418657</v>
      </c>
      <c r="AE28" s="185">
        <v>97.0</v>
      </c>
      <c r="AF28" s="201">
        <f t="shared" si="28"/>
        <v>0.01315254237</v>
      </c>
      <c r="AG28" s="185">
        <v>46.0</v>
      </c>
      <c r="AH28" s="201">
        <f t="shared" si="29"/>
        <v>0.006237288136</v>
      </c>
      <c r="AI28" s="185">
        <v>7209.0</v>
      </c>
      <c r="AJ28" s="201">
        <f t="shared" si="30"/>
        <v>0.9774915254</v>
      </c>
      <c r="AK28" s="185">
        <v>23.0</v>
      </c>
      <c r="AL28" s="201">
        <f t="shared" si="31"/>
        <v>0.003118644068</v>
      </c>
      <c r="AM28" s="35">
        <v>6317.0</v>
      </c>
      <c r="AN28" s="35">
        <v>4390.0</v>
      </c>
      <c r="AO28" s="183">
        <v>1927.0</v>
      </c>
      <c r="AP28" s="183">
        <v>12307.0</v>
      </c>
      <c r="AQ28" s="183">
        <v>7034.0</v>
      </c>
      <c r="AR28" s="183">
        <f t="shared" si="16"/>
        <v>5273</v>
      </c>
      <c r="AS28" s="35">
        <v>4742.0</v>
      </c>
      <c r="AT28" s="35">
        <v>1934.0</v>
      </c>
      <c r="AU28" s="183">
        <v>2808.0</v>
      </c>
      <c r="AV28" s="183">
        <v>11008.0</v>
      </c>
      <c r="AW28" s="183">
        <v>6821.0</v>
      </c>
      <c r="AX28" s="183">
        <f t="shared" si="17"/>
        <v>4187</v>
      </c>
      <c r="AY28" s="183">
        <v>5065.0</v>
      </c>
      <c r="AZ28" s="183">
        <v>2447.0</v>
      </c>
      <c r="BA28" s="183">
        <f t="shared" si="18"/>
        <v>2618</v>
      </c>
      <c r="BB28" s="183">
        <v>645.0</v>
      </c>
      <c r="BC28" s="183">
        <v>356.0</v>
      </c>
      <c r="BD28" s="183">
        <f t="shared" si="19"/>
        <v>289</v>
      </c>
      <c r="BE28" s="183">
        <v>148.0</v>
      </c>
      <c r="BF28" s="183">
        <v>63.0</v>
      </c>
      <c r="BG28" s="183">
        <f t="shared" si="20"/>
        <v>85</v>
      </c>
      <c r="BH28" s="183">
        <v>2135.0</v>
      </c>
      <c r="BI28" s="183">
        <v>1540.0</v>
      </c>
      <c r="BJ28" s="183">
        <f t="shared" si="21"/>
        <v>595</v>
      </c>
      <c r="BK28" s="183">
        <v>3224.0</v>
      </c>
      <c r="BL28" s="190">
        <f t="shared" si="22"/>
        <v>0.137978259</v>
      </c>
      <c r="BM28" s="183">
        <v>1298.0</v>
      </c>
      <c r="BN28" s="274">
        <f t="shared" si="26"/>
        <v>0.4026054591</v>
      </c>
      <c r="BO28" s="183">
        <f t="shared" si="23"/>
        <v>1926</v>
      </c>
      <c r="BP28" s="35">
        <v>76.0</v>
      </c>
      <c r="BQ28" s="35">
        <v>2820.0</v>
      </c>
      <c r="BR28" s="208">
        <f t="shared" si="27"/>
        <v>0.8746898263</v>
      </c>
      <c r="BS28" s="35">
        <v>14.0</v>
      </c>
      <c r="BT28" s="35">
        <v>128.0</v>
      </c>
      <c r="BU28" s="35">
        <v>0.0</v>
      </c>
      <c r="BV28" s="35">
        <v>186.0</v>
      </c>
      <c r="BW28" s="35">
        <v>1389.0</v>
      </c>
      <c r="BX28" s="35">
        <v>109.0</v>
      </c>
      <c r="BY28" s="35">
        <v>1726.0</v>
      </c>
      <c r="BZ28" s="226">
        <v>2320.0</v>
      </c>
      <c r="CA28" s="226">
        <v>137.0</v>
      </c>
      <c r="CB28" s="226">
        <v>617.0</v>
      </c>
      <c r="CC28" s="226">
        <v>29.0</v>
      </c>
      <c r="CD28" s="218"/>
    </row>
    <row r="29" ht="14.25" customHeight="1">
      <c r="A29" s="181" t="s">
        <v>150</v>
      </c>
      <c r="B29" s="182">
        <v>728.0</v>
      </c>
      <c r="C29" s="182" t="s">
        <v>176</v>
      </c>
      <c r="D29" s="183">
        <v>31402.0</v>
      </c>
      <c r="E29" s="183">
        <v>20814.0</v>
      </c>
      <c r="F29" s="183">
        <f t="shared" si="1"/>
        <v>10588</v>
      </c>
      <c r="G29" s="185">
        <v>18726.0</v>
      </c>
      <c r="H29" s="35">
        <v>12339.0</v>
      </c>
      <c r="I29" s="183">
        <v>17448.0</v>
      </c>
      <c r="J29" s="183">
        <v>10399.0</v>
      </c>
      <c r="K29" s="183">
        <f t="shared" si="2"/>
        <v>7049</v>
      </c>
      <c r="L29" s="183">
        <f t="shared" si="3"/>
        <v>31403</v>
      </c>
      <c r="M29" s="183">
        <f>828+1061</f>
        <v>1889</v>
      </c>
      <c r="N29" s="274">
        <f t="shared" si="4"/>
        <v>0.06015540411</v>
      </c>
      <c r="O29" s="183">
        <f>168+257</f>
        <v>425</v>
      </c>
      <c r="P29" s="274">
        <f t="shared" si="5"/>
        <v>0.0135341698</v>
      </c>
      <c r="Q29" s="183">
        <f>16265+12255</f>
        <v>28520</v>
      </c>
      <c r="R29" s="274">
        <f t="shared" si="6"/>
        <v>0.9082224062</v>
      </c>
      <c r="S29" s="183">
        <f>187+381</f>
        <v>568</v>
      </c>
      <c r="T29" s="274">
        <f t="shared" si="7"/>
        <v>0.01808801987</v>
      </c>
      <c r="U29" s="183">
        <v>0.0</v>
      </c>
      <c r="V29" s="183">
        <v>0.0</v>
      </c>
      <c r="W29" s="185">
        <v>163.0</v>
      </c>
      <c r="X29" s="347">
        <f t="shared" si="8"/>
        <v>0.008704475061</v>
      </c>
      <c r="Y29" s="185">
        <v>63.0</v>
      </c>
      <c r="Z29" s="201">
        <f t="shared" si="9"/>
        <v>0.003364306312</v>
      </c>
      <c r="AA29" s="185">
        <v>18437.0</v>
      </c>
      <c r="AB29" s="201">
        <f t="shared" si="10"/>
        <v>0.9845669123</v>
      </c>
      <c r="AC29" s="185">
        <v>63.0</v>
      </c>
      <c r="AD29" s="201">
        <f t="shared" si="11"/>
        <v>0.003364306312</v>
      </c>
      <c r="AE29" s="185">
        <v>1651.0</v>
      </c>
      <c r="AF29" s="201">
        <f t="shared" si="28"/>
        <v>0.1338033876</v>
      </c>
      <c r="AG29" s="185">
        <v>291.0</v>
      </c>
      <c r="AH29" s="201">
        <f t="shared" si="29"/>
        <v>0.02358375881</v>
      </c>
      <c r="AI29" s="185">
        <v>9995.0</v>
      </c>
      <c r="AJ29" s="201">
        <f t="shared" si="30"/>
        <v>0.810033228</v>
      </c>
      <c r="AK29" s="185">
        <v>402.0</v>
      </c>
      <c r="AL29" s="201">
        <f t="shared" si="31"/>
        <v>0.03257962558</v>
      </c>
      <c r="AM29" s="35">
        <v>10786.0</v>
      </c>
      <c r="AN29" s="35">
        <v>8551.0</v>
      </c>
      <c r="AO29" s="183">
        <v>2235.0</v>
      </c>
      <c r="AP29" s="183">
        <v>14548.0</v>
      </c>
      <c r="AQ29" s="183">
        <v>9190.0</v>
      </c>
      <c r="AR29" s="183">
        <f t="shared" si="16"/>
        <v>5358</v>
      </c>
      <c r="AS29" s="35">
        <v>6068.0</v>
      </c>
      <c r="AT29" s="35">
        <v>3073.0</v>
      </c>
      <c r="AU29" s="183">
        <v>2995.0</v>
      </c>
      <c r="AV29" s="183">
        <v>4546.0</v>
      </c>
      <c r="AW29" s="183">
        <v>3419.0</v>
      </c>
      <c r="AX29" s="183">
        <f t="shared" si="17"/>
        <v>1127</v>
      </c>
      <c r="AY29" s="183">
        <v>6155.0</v>
      </c>
      <c r="AZ29" s="183">
        <v>3753.0</v>
      </c>
      <c r="BA29" s="183">
        <f t="shared" si="18"/>
        <v>2402</v>
      </c>
      <c r="BB29" s="183">
        <v>749.0</v>
      </c>
      <c r="BC29" s="183">
        <v>501.0</v>
      </c>
      <c r="BD29" s="183">
        <f t="shared" si="19"/>
        <v>248</v>
      </c>
      <c r="BE29" s="183">
        <v>212.0</v>
      </c>
      <c r="BF29" s="183">
        <v>128.0</v>
      </c>
      <c r="BG29" s="183">
        <f t="shared" si="20"/>
        <v>84</v>
      </c>
      <c r="BH29" s="183">
        <v>4647.0</v>
      </c>
      <c r="BI29" s="183">
        <v>3146.0</v>
      </c>
      <c r="BJ29" s="183">
        <f t="shared" si="21"/>
        <v>1501</v>
      </c>
      <c r="BK29" s="183">
        <v>12230.0</v>
      </c>
      <c r="BL29" s="349">
        <f t="shared" si="22"/>
        <v>0.3894656391</v>
      </c>
      <c r="BM29" s="183">
        <v>7939.0</v>
      </c>
      <c r="BN29" s="274">
        <f t="shared" si="26"/>
        <v>0.6491414554</v>
      </c>
      <c r="BO29" s="183">
        <f t="shared" si="23"/>
        <v>4291</v>
      </c>
      <c r="BP29" s="35">
        <v>5553.0</v>
      </c>
      <c r="BQ29" s="185">
        <v>6650.0</v>
      </c>
      <c r="BR29" s="208">
        <f t="shared" si="27"/>
        <v>0.5437448896</v>
      </c>
      <c r="BS29" s="185">
        <v>26.0</v>
      </c>
      <c r="BT29" s="185">
        <v>0.0</v>
      </c>
      <c r="BU29" s="185">
        <v>0.0</v>
      </c>
      <c r="BV29" s="185">
        <v>1.0</v>
      </c>
      <c r="BW29" s="185">
        <v>5378.0</v>
      </c>
      <c r="BX29" s="35">
        <v>5782.0</v>
      </c>
      <c r="BY29" s="35">
        <v>1070.0</v>
      </c>
      <c r="BZ29" s="226">
        <v>896.0</v>
      </c>
      <c r="CA29" s="226">
        <v>235.0</v>
      </c>
      <c r="CB29" s="226">
        <v>1745.0</v>
      </c>
      <c r="CC29" s="226">
        <v>93.0</v>
      </c>
      <c r="CD29" s="352"/>
    </row>
    <row r="30" ht="14.25" customHeight="1">
      <c r="A30" s="181" t="s">
        <v>153</v>
      </c>
      <c r="B30" s="182">
        <v>877.0</v>
      </c>
      <c r="C30" s="182" t="s">
        <v>177</v>
      </c>
      <c r="D30" s="183">
        <v>331336.0</v>
      </c>
      <c r="E30" s="183">
        <v>277394.0</v>
      </c>
      <c r="F30" s="183">
        <f t="shared" si="1"/>
        <v>53942</v>
      </c>
      <c r="G30" s="185">
        <v>200077.0</v>
      </c>
      <c r="H30" s="35">
        <v>78872.0</v>
      </c>
      <c r="I30" s="183">
        <v>153894.0</v>
      </c>
      <c r="J30" s="183">
        <v>117943.0</v>
      </c>
      <c r="K30" s="183">
        <f t="shared" si="2"/>
        <v>35951</v>
      </c>
      <c r="L30" s="183">
        <f t="shared" si="3"/>
        <v>331337</v>
      </c>
      <c r="M30" s="183">
        <f>59632+46376</f>
        <v>106008</v>
      </c>
      <c r="N30" s="274">
        <f t="shared" si="4"/>
        <v>0.319941087</v>
      </c>
      <c r="O30" s="183">
        <f>16364+24727</f>
        <v>41091</v>
      </c>
      <c r="P30" s="274">
        <f t="shared" si="5"/>
        <v>0.1240161045</v>
      </c>
      <c r="Q30" s="183">
        <f>15968+25126</f>
        <v>41094</v>
      </c>
      <c r="R30" s="274">
        <f t="shared" si="6"/>
        <v>0.1240251588</v>
      </c>
      <c r="S30" s="183">
        <f>61930+81213</f>
        <v>143143</v>
      </c>
      <c r="T30" s="274">
        <f t="shared" si="7"/>
        <v>0.4320176498</v>
      </c>
      <c r="U30" s="183">
        <v>0.0</v>
      </c>
      <c r="V30" s="183">
        <v>0.0</v>
      </c>
      <c r="W30" s="185">
        <v>48623.0</v>
      </c>
      <c r="X30" s="347">
        <f t="shared" si="8"/>
        <v>0.2430214367</v>
      </c>
      <c r="Y30" s="185">
        <v>33552.0</v>
      </c>
      <c r="Z30" s="201">
        <f t="shared" si="9"/>
        <v>0.1676954373</v>
      </c>
      <c r="AA30" s="185">
        <v>34483.0</v>
      </c>
      <c r="AB30" s="201">
        <f t="shared" si="10"/>
        <v>0.1723486458</v>
      </c>
      <c r="AC30" s="185">
        <v>83419.0</v>
      </c>
      <c r="AD30" s="201">
        <f t="shared" si="11"/>
        <v>0.4169344802</v>
      </c>
      <c r="AE30" s="185">
        <v>36541.0</v>
      </c>
      <c r="AF30" s="201">
        <f t="shared" si="28"/>
        <v>0.4632949589</v>
      </c>
      <c r="AG30" s="185">
        <v>4350.0</v>
      </c>
      <c r="AH30" s="201">
        <f t="shared" si="29"/>
        <v>0.0551526524</v>
      </c>
      <c r="AI30" s="185">
        <v>2825.0</v>
      </c>
      <c r="AJ30" s="201">
        <f t="shared" si="30"/>
        <v>0.03581752713</v>
      </c>
      <c r="AK30" s="185">
        <v>35156.0</v>
      </c>
      <c r="AL30" s="201">
        <f t="shared" si="31"/>
        <v>0.4457348615</v>
      </c>
      <c r="AM30" s="35">
        <v>93233.0</v>
      </c>
      <c r="AN30" s="35">
        <v>86720.0</v>
      </c>
      <c r="AO30" s="183">
        <v>6513.0</v>
      </c>
      <c r="AP30" s="183">
        <v>174635.0</v>
      </c>
      <c r="AQ30" s="183">
        <v>144505.0</v>
      </c>
      <c r="AR30" s="183">
        <f t="shared" si="16"/>
        <v>30130</v>
      </c>
      <c r="AS30" s="35">
        <v>63468.0</v>
      </c>
      <c r="AT30" s="35">
        <v>46169.0</v>
      </c>
      <c r="AU30" s="183">
        <v>17299.0</v>
      </c>
      <c r="AV30" s="183">
        <v>137726.0</v>
      </c>
      <c r="AW30" s="183">
        <v>125702.0</v>
      </c>
      <c r="AX30" s="183">
        <f t="shared" si="17"/>
        <v>12024</v>
      </c>
      <c r="AY30" s="183">
        <v>116624.0</v>
      </c>
      <c r="AZ30" s="183">
        <v>91462.0</v>
      </c>
      <c r="BA30" s="183">
        <f t="shared" si="18"/>
        <v>25162</v>
      </c>
      <c r="BB30" s="183">
        <v>4237.0</v>
      </c>
      <c r="BC30" s="183">
        <v>3320.0</v>
      </c>
      <c r="BD30" s="183">
        <f t="shared" si="19"/>
        <v>917</v>
      </c>
      <c r="BE30" s="183">
        <v>8047.0</v>
      </c>
      <c r="BF30" s="183">
        <v>5670.0</v>
      </c>
      <c r="BG30" s="183">
        <f t="shared" si="20"/>
        <v>2377</v>
      </c>
      <c r="BH30" s="183">
        <v>25933.0</v>
      </c>
      <c r="BI30" s="183">
        <v>20313.0</v>
      </c>
      <c r="BJ30" s="183">
        <f t="shared" si="21"/>
        <v>5620</v>
      </c>
      <c r="BK30" s="183">
        <v>18805.0</v>
      </c>
      <c r="BL30" s="190">
        <f t="shared" si="22"/>
        <v>0.05675507642</v>
      </c>
      <c r="BM30" s="183">
        <v>14634.0</v>
      </c>
      <c r="BN30" s="274">
        <f t="shared" si="26"/>
        <v>0.778197288</v>
      </c>
      <c r="BO30" s="183">
        <f t="shared" si="23"/>
        <v>4171</v>
      </c>
      <c r="BP30" s="35">
        <v>3685.0</v>
      </c>
      <c r="BQ30" s="35">
        <v>9313.0</v>
      </c>
      <c r="BR30" s="208">
        <f t="shared" si="27"/>
        <v>0.4952406275</v>
      </c>
      <c r="BS30" s="35">
        <v>358.0</v>
      </c>
      <c r="BT30" s="35">
        <v>3683.0</v>
      </c>
      <c r="BU30" s="35">
        <v>38.0</v>
      </c>
      <c r="BV30" s="35">
        <v>1728.0</v>
      </c>
      <c r="BW30" s="35">
        <v>9929.0</v>
      </c>
      <c r="BX30" s="35">
        <v>1871.0</v>
      </c>
      <c r="BY30" s="35">
        <v>7005.0</v>
      </c>
      <c r="BZ30" s="226">
        <v>16584.0</v>
      </c>
      <c r="CA30" s="226">
        <v>1409.0</v>
      </c>
      <c r="CB30" s="226">
        <v>33316.0</v>
      </c>
      <c r="CC30" s="226">
        <v>2019.0</v>
      </c>
      <c r="CD30" s="218"/>
    </row>
    <row r="31" ht="14.25" customHeight="1">
      <c r="A31" s="181" t="s">
        <v>159</v>
      </c>
      <c r="B31" s="182">
        <v>897.0</v>
      </c>
      <c r="C31" s="182" t="s">
        <v>178</v>
      </c>
      <c r="D31" s="183">
        <v>12355.0</v>
      </c>
      <c r="E31" s="183">
        <v>5736.0</v>
      </c>
      <c r="F31" s="183">
        <f t="shared" si="1"/>
        <v>6619</v>
      </c>
      <c r="G31" s="185">
        <v>4524.0</v>
      </c>
      <c r="H31" s="114">
        <v>6762.0</v>
      </c>
      <c r="I31" s="183">
        <v>9274.0</v>
      </c>
      <c r="J31" s="183">
        <v>4209.0</v>
      </c>
      <c r="K31" s="183">
        <f t="shared" si="2"/>
        <v>5065</v>
      </c>
      <c r="L31" s="183">
        <f t="shared" si="3"/>
        <v>12356</v>
      </c>
      <c r="M31" s="183">
        <f>1085+341</f>
        <v>1426</v>
      </c>
      <c r="N31" s="274">
        <f t="shared" si="4"/>
        <v>0.1154188588</v>
      </c>
      <c r="O31" s="183">
        <f>996+577</f>
        <v>1573</v>
      </c>
      <c r="P31" s="274">
        <f t="shared" si="5"/>
        <v>0.1273168758</v>
      </c>
      <c r="Q31" s="183">
        <f>10+8</f>
        <v>18</v>
      </c>
      <c r="R31" s="274">
        <f t="shared" si="6"/>
        <v>0.00145690004</v>
      </c>
      <c r="S31" s="183">
        <f>7183+2155</f>
        <v>9338</v>
      </c>
      <c r="T31" s="274">
        <f t="shared" si="7"/>
        <v>0.7558073654</v>
      </c>
      <c r="U31" s="183">
        <v>0.0</v>
      </c>
      <c r="V31" s="183">
        <v>0.0</v>
      </c>
      <c r="W31" s="185">
        <v>383.0</v>
      </c>
      <c r="X31" s="347">
        <f t="shared" si="8"/>
        <v>0.08465959328</v>
      </c>
      <c r="Y31" s="185">
        <v>718.0</v>
      </c>
      <c r="Z31" s="201">
        <f t="shared" si="9"/>
        <v>0.158709107</v>
      </c>
      <c r="AA31" s="185">
        <v>2.0</v>
      </c>
      <c r="AB31" s="201">
        <f t="shared" si="10"/>
        <v>0.000442086649</v>
      </c>
      <c r="AC31" s="185">
        <v>3421.0</v>
      </c>
      <c r="AD31" s="201">
        <f t="shared" si="11"/>
        <v>0.7561892131</v>
      </c>
      <c r="AE31" s="185">
        <v>932.0</v>
      </c>
      <c r="AF31" s="201">
        <f t="shared" si="28"/>
        <v>0.1378290447</v>
      </c>
      <c r="AG31" s="185">
        <v>787.0</v>
      </c>
      <c r="AH31" s="201">
        <f t="shared" si="29"/>
        <v>0.1163856847</v>
      </c>
      <c r="AI31" s="185">
        <v>10.0</v>
      </c>
      <c r="AJ31" s="201">
        <f t="shared" si="30"/>
        <v>0.001478852411</v>
      </c>
      <c r="AK31" s="185">
        <v>5033.0</v>
      </c>
      <c r="AL31" s="201">
        <f t="shared" si="31"/>
        <v>0.7443064182</v>
      </c>
      <c r="AM31" s="35">
        <v>1151.0</v>
      </c>
      <c r="AN31" s="35">
        <v>558.0</v>
      </c>
      <c r="AO31" s="183">
        <v>593.0</v>
      </c>
      <c r="AP31" s="183">
        <v>4768.0</v>
      </c>
      <c r="AQ31" s="183">
        <v>2178.0</v>
      </c>
      <c r="AR31" s="183">
        <f t="shared" si="16"/>
        <v>2590</v>
      </c>
      <c r="AS31" s="35">
        <v>6436.0</v>
      </c>
      <c r="AT31" s="35">
        <v>3000.0</v>
      </c>
      <c r="AU31" s="183">
        <v>3436.0</v>
      </c>
      <c r="AV31" s="183">
        <v>2125.0</v>
      </c>
      <c r="AW31" s="183">
        <v>1201.0</v>
      </c>
      <c r="AX31" s="183">
        <f t="shared" si="17"/>
        <v>924</v>
      </c>
      <c r="AY31" s="183">
        <v>8126.0</v>
      </c>
      <c r="AZ31" s="183">
        <v>3652.0</v>
      </c>
      <c r="BA31" s="183">
        <f t="shared" si="18"/>
        <v>4474</v>
      </c>
      <c r="BB31" s="183">
        <v>143.0</v>
      </c>
      <c r="BC31" s="183">
        <v>61.0</v>
      </c>
      <c r="BD31" s="183">
        <f t="shared" si="19"/>
        <v>82</v>
      </c>
      <c r="BE31" s="183">
        <v>534.0</v>
      </c>
      <c r="BF31" s="183">
        <v>211.0</v>
      </c>
      <c r="BG31" s="183">
        <f t="shared" si="20"/>
        <v>323</v>
      </c>
      <c r="BH31" s="183">
        <v>958.0</v>
      </c>
      <c r="BI31" s="183">
        <v>409.0</v>
      </c>
      <c r="BJ31" s="183">
        <f t="shared" si="21"/>
        <v>549</v>
      </c>
      <c r="BK31" s="183">
        <v>179.0</v>
      </c>
      <c r="BL31" s="190">
        <f t="shared" si="22"/>
        <v>0.01448806151</v>
      </c>
      <c r="BM31" s="183">
        <v>74.0</v>
      </c>
      <c r="BN31" s="274">
        <f t="shared" si="26"/>
        <v>0.4134078212</v>
      </c>
      <c r="BO31" s="183">
        <f t="shared" si="23"/>
        <v>105</v>
      </c>
      <c r="BP31" s="35">
        <v>4.0</v>
      </c>
      <c r="BQ31" s="35">
        <v>174.0</v>
      </c>
      <c r="BR31" s="350">
        <f t="shared" si="27"/>
        <v>0.9720670391</v>
      </c>
      <c r="BS31" s="35">
        <v>1.0</v>
      </c>
      <c r="BT31" s="35">
        <v>0.0</v>
      </c>
      <c r="BU31" s="35">
        <v>0.0</v>
      </c>
      <c r="BV31" s="35">
        <v>0.0</v>
      </c>
      <c r="BW31" s="35">
        <v>16.0</v>
      </c>
      <c r="BX31" s="35">
        <v>160.0</v>
      </c>
      <c r="BY31" s="35">
        <v>3.0</v>
      </c>
      <c r="BZ31" s="226">
        <v>1113.0</v>
      </c>
      <c r="CA31" s="226">
        <v>101.0</v>
      </c>
      <c r="CB31" s="226">
        <v>4322.0</v>
      </c>
      <c r="CC31" s="226">
        <v>232.0</v>
      </c>
      <c r="CD31" s="218"/>
    </row>
    <row r="32" ht="14.25" customHeight="1">
      <c r="A32" s="354" t="s">
        <v>148</v>
      </c>
      <c r="B32" s="355">
        <v>928.0</v>
      </c>
      <c r="C32" s="355" t="s">
        <v>179</v>
      </c>
      <c r="D32" s="356">
        <v>257134.0</v>
      </c>
      <c r="E32" s="356">
        <v>162591.0</v>
      </c>
      <c r="F32" s="356">
        <f t="shared" si="1"/>
        <v>94543</v>
      </c>
      <c r="G32" s="357">
        <v>118713.0</v>
      </c>
      <c r="H32" s="358">
        <v>130629.0</v>
      </c>
      <c r="I32" s="356">
        <v>193433.0</v>
      </c>
      <c r="J32" s="356">
        <v>113444.0</v>
      </c>
      <c r="K32" s="356">
        <f t="shared" si="2"/>
        <v>79989</v>
      </c>
      <c r="L32" s="356">
        <f t="shared" si="3"/>
        <v>257135</v>
      </c>
      <c r="M32" s="356">
        <f>139391+38001</f>
        <v>177392</v>
      </c>
      <c r="N32" s="359">
        <f t="shared" si="4"/>
        <v>0.6898815404</v>
      </c>
      <c r="O32" s="356">
        <f>29265+15087</f>
        <v>44352</v>
      </c>
      <c r="P32" s="359">
        <f t="shared" si="5"/>
        <v>0.1724859412</v>
      </c>
      <c r="Q32" s="356">
        <f>94+71</f>
        <v>165</v>
      </c>
      <c r="R32" s="359">
        <f t="shared" si="6"/>
        <v>0.0006416887693</v>
      </c>
      <c r="S32" s="356">
        <f>24683+10542</f>
        <v>35225</v>
      </c>
      <c r="T32" s="359">
        <f t="shared" si="7"/>
        <v>0.1369908297</v>
      </c>
      <c r="U32" s="356">
        <v>0.0</v>
      </c>
      <c r="V32" s="356">
        <v>0.0</v>
      </c>
      <c r="W32" s="357">
        <v>68045.0</v>
      </c>
      <c r="X32" s="360">
        <f t="shared" si="8"/>
        <v>0.57318912</v>
      </c>
      <c r="Y32" s="361">
        <v>158.0</v>
      </c>
      <c r="Z32" s="362">
        <f t="shared" si="9"/>
        <v>0.001330941009</v>
      </c>
      <c r="AA32" s="361">
        <v>0.0</v>
      </c>
      <c r="AB32" s="362">
        <f t="shared" si="10"/>
        <v>0</v>
      </c>
      <c r="AC32" s="361">
        <v>162.0</v>
      </c>
      <c r="AD32" s="363">
        <f t="shared" si="11"/>
        <v>0.001364635718</v>
      </c>
      <c r="AE32" s="357">
        <v>103690.0</v>
      </c>
      <c r="AF32" s="363">
        <f t="shared" si="28"/>
        <v>0.7937747361</v>
      </c>
      <c r="AG32" s="357">
        <v>12258.0</v>
      </c>
      <c r="AH32" s="363">
        <f t="shared" si="29"/>
        <v>0.09383827481</v>
      </c>
      <c r="AI32" s="357">
        <v>70.0</v>
      </c>
      <c r="AJ32" s="363">
        <f t="shared" si="30"/>
        <v>0.0005358687581</v>
      </c>
      <c r="AK32" s="357">
        <v>14611.0</v>
      </c>
      <c r="AL32" s="363">
        <f t="shared" si="31"/>
        <v>0.1118511203</v>
      </c>
      <c r="AM32" s="364">
        <v>21714.0</v>
      </c>
      <c r="AN32" s="364">
        <v>14560.0</v>
      </c>
      <c r="AO32" s="356">
        <v>7154.0</v>
      </c>
      <c r="AP32" s="356">
        <v>80043.0</v>
      </c>
      <c r="AQ32" s="356">
        <v>48952.0</v>
      </c>
      <c r="AR32" s="356">
        <f t="shared" si="16"/>
        <v>31091</v>
      </c>
      <c r="AS32" s="364">
        <v>155377.0</v>
      </c>
      <c r="AT32" s="364">
        <v>99079.0</v>
      </c>
      <c r="AU32" s="356">
        <v>56298.0</v>
      </c>
      <c r="AV32" s="356">
        <v>10441.0</v>
      </c>
      <c r="AW32" s="356">
        <v>7348.0</v>
      </c>
      <c r="AX32" s="356">
        <f t="shared" si="17"/>
        <v>3093</v>
      </c>
      <c r="AY32" s="356">
        <v>162697.0</v>
      </c>
      <c r="AZ32" s="356">
        <v>103656.0</v>
      </c>
      <c r="BA32" s="356">
        <f t="shared" si="18"/>
        <v>59041</v>
      </c>
      <c r="BB32" s="356">
        <v>805.0</v>
      </c>
      <c r="BC32" s="356">
        <v>590.0</v>
      </c>
      <c r="BD32" s="356">
        <f t="shared" si="19"/>
        <v>215</v>
      </c>
      <c r="BE32" s="356">
        <v>11854.0</v>
      </c>
      <c r="BF32" s="356">
        <v>7741.0</v>
      </c>
      <c r="BG32" s="356">
        <f t="shared" si="20"/>
        <v>4113</v>
      </c>
      <c r="BH32" s="356">
        <v>49972.0</v>
      </c>
      <c r="BI32" s="356">
        <v>31715.0</v>
      </c>
      <c r="BJ32" s="356">
        <f t="shared" si="21"/>
        <v>18257</v>
      </c>
      <c r="BK32" s="356">
        <v>15282.0</v>
      </c>
      <c r="BL32" s="365">
        <f t="shared" si="22"/>
        <v>0.0594320471</v>
      </c>
      <c r="BM32" s="356">
        <v>7255.0</v>
      </c>
      <c r="BN32" s="274">
        <f t="shared" si="26"/>
        <v>0.474741526</v>
      </c>
      <c r="BO32" s="356">
        <f t="shared" si="23"/>
        <v>8027</v>
      </c>
      <c r="BP32" s="364">
        <v>1225.0</v>
      </c>
      <c r="BQ32" s="364">
        <v>13684.0</v>
      </c>
      <c r="BR32" s="350">
        <f t="shared" si="27"/>
        <v>0.895432535</v>
      </c>
      <c r="BS32" s="364">
        <v>50.0</v>
      </c>
      <c r="BT32" s="364">
        <v>297.0</v>
      </c>
      <c r="BU32" s="364">
        <v>26.0</v>
      </c>
      <c r="BV32" s="364">
        <v>0.0</v>
      </c>
      <c r="BW32" s="364">
        <v>4694.0</v>
      </c>
      <c r="BX32" s="364">
        <v>9861.0</v>
      </c>
      <c r="BY32" s="364">
        <v>727.0</v>
      </c>
      <c r="BZ32" s="366">
        <v>3390.0</v>
      </c>
      <c r="CA32" s="366">
        <v>328.0</v>
      </c>
      <c r="CB32" s="366">
        <v>78916.0</v>
      </c>
      <c r="CC32" s="366">
        <v>3649.0</v>
      </c>
      <c r="CD32" s="367"/>
    </row>
    <row r="33" ht="14.25" customHeight="1">
      <c r="A33" s="181" t="s">
        <v>155</v>
      </c>
      <c r="B33" s="182">
        <v>903.0</v>
      </c>
      <c r="C33" s="182" t="s">
        <v>180</v>
      </c>
      <c r="D33" s="183">
        <v>724525.0</v>
      </c>
      <c r="E33" s="183">
        <v>541515.0</v>
      </c>
      <c r="F33" s="183">
        <f t="shared" si="1"/>
        <v>183010</v>
      </c>
      <c r="G33" s="185">
        <v>383068.0</v>
      </c>
      <c r="H33" s="35">
        <v>326490.0</v>
      </c>
      <c r="I33" s="183">
        <v>287350.0</v>
      </c>
      <c r="J33" s="183">
        <v>179820.0</v>
      </c>
      <c r="K33" s="183">
        <f t="shared" si="2"/>
        <v>107530</v>
      </c>
      <c r="L33" s="183">
        <f t="shared" si="3"/>
        <v>724526</v>
      </c>
      <c r="M33" s="183">
        <f>130555+110969</f>
        <v>241524</v>
      </c>
      <c r="N33" s="274">
        <f t="shared" si="4"/>
        <v>0.3333549567</v>
      </c>
      <c r="O33" s="183">
        <f>28091+75411</f>
        <v>103502</v>
      </c>
      <c r="P33" s="274">
        <f t="shared" si="5"/>
        <v>0.1428549739</v>
      </c>
      <c r="Q33" s="183">
        <f>19979+53150</f>
        <v>73129</v>
      </c>
      <c r="R33" s="274">
        <f t="shared" si="6"/>
        <v>0.1009337152</v>
      </c>
      <c r="S33" s="183">
        <f>108725+197645</f>
        <v>306370</v>
      </c>
      <c r="T33" s="274">
        <f t="shared" si="7"/>
        <v>0.4228563542</v>
      </c>
      <c r="U33" s="183">
        <v>0.0</v>
      </c>
      <c r="V33" s="183">
        <v>0.0</v>
      </c>
      <c r="W33" s="185">
        <v>100776.0</v>
      </c>
      <c r="X33" s="347">
        <f t="shared" si="8"/>
        <v>0.2630760074</v>
      </c>
      <c r="Y33" s="185">
        <v>64672.0</v>
      </c>
      <c r="Z33" s="201">
        <f t="shared" si="9"/>
        <v>0.1688264225</v>
      </c>
      <c r="AA33" s="185">
        <v>57265.0</v>
      </c>
      <c r="AB33" s="201">
        <f t="shared" si="10"/>
        <v>0.1494904299</v>
      </c>
      <c r="AC33" s="185">
        <v>160355.0</v>
      </c>
      <c r="AD33" s="201">
        <f t="shared" si="11"/>
        <v>0.4186071402</v>
      </c>
      <c r="AE33" s="185">
        <v>137011.0</v>
      </c>
      <c r="AF33" s="201">
        <f t="shared" si="28"/>
        <v>0.4196483813</v>
      </c>
      <c r="AG33" s="185">
        <v>37955.0</v>
      </c>
      <c r="AH33" s="201">
        <f t="shared" si="29"/>
        <v>0.1162516463</v>
      </c>
      <c r="AI33" s="185">
        <v>11777.0</v>
      </c>
      <c r="AJ33" s="201">
        <f t="shared" si="30"/>
        <v>0.0360715489</v>
      </c>
      <c r="AK33" s="185">
        <v>139747.0</v>
      </c>
      <c r="AL33" s="201">
        <f t="shared" si="31"/>
        <v>0.4280284235</v>
      </c>
      <c r="AM33" s="35">
        <v>76274.0</v>
      </c>
      <c r="AN33" s="35">
        <v>65708.0</v>
      </c>
      <c r="AO33" s="183">
        <v>10566.0</v>
      </c>
      <c r="AP33" s="183">
        <v>265194.0</v>
      </c>
      <c r="AQ33" s="183">
        <v>198631.0</v>
      </c>
      <c r="AR33" s="183">
        <f t="shared" si="16"/>
        <v>66563</v>
      </c>
      <c r="AS33" s="35">
        <v>383057.0</v>
      </c>
      <c r="AT33" s="35">
        <v>277176.0</v>
      </c>
      <c r="AU33" s="183">
        <v>105881.0</v>
      </c>
      <c r="AV33" s="183">
        <v>90722.0</v>
      </c>
      <c r="AW33" s="183">
        <v>79953.0</v>
      </c>
      <c r="AX33" s="183">
        <f t="shared" si="17"/>
        <v>10769</v>
      </c>
      <c r="AY33" s="183">
        <v>486153.0</v>
      </c>
      <c r="AZ33" s="183">
        <v>360894.0</v>
      </c>
      <c r="BA33" s="183">
        <f t="shared" si="18"/>
        <v>125259</v>
      </c>
      <c r="BB33" s="183">
        <v>34307.0</v>
      </c>
      <c r="BC33" s="183">
        <v>29588.0</v>
      </c>
      <c r="BD33" s="183">
        <f t="shared" si="19"/>
        <v>4719</v>
      </c>
      <c r="BE33" s="183">
        <v>12580.0</v>
      </c>
      <c r="BF33" s="183">
        <v>8485.0</v>
      </c>
      <c r="BG33" s="183">
        <f t="shared" si="20"/>
        <v>4095</v>
      </c>
      <c r="BH33" s="183">
        <v>41769.0</v>
      </c>
      <c r="BI33" s="183">
        <v>27070.0</v>
      </c>
      <c r="BJ33" s="183">
        <f t="shared" si="21"/>
        <v>14699</v>
      </c>
      <c r="BK33" s="183">
        <v>44496.0</v>
      </c>
      <c r="BL33" s="190">
        <f t="shared" si="22"/>
        <v>0.06141402988</v>
      </c>
      <c r="BM33" s="183">
        <v>26144.0</v>
      </c>
      <c r="BN33" s="274">
        <f t="shared" si="26"/>
        <v>0.5875584322</v>
      </c>
      <c r="BO33" s="183">
        <f t="shared" si="23"/>
        <v>18352</v>
      </c>
      <c r="BP33" s="35">
        <v>2729.0</v>
      </c>
      <c r="BQ33" s="35">
        <v>39883.0</v>
      </c>
      <c r="BR33" s="350">
        <f t="shared" si="27"/>
        <v>0.8963277598</v>
      </c>
      <c r="BS33" s="35">
        <v>1080.0</v>
      </c>
      <c r="BT33" s="35">
        <v>0.0</v>
      </c>
      <c r="BU33" s="35">
        <v>797.0</v>
      </c>
      <c r="BV33" s="35">
        <v>7.0</v>
      </c>
      <c r="BW33" s="35">
        <v>24056.0</v>
      </c>
      <c r="BX33" s="35">
        <v>20070.0</v>
      </c>
      <c r="BY33" s="35">
        <v>370.0</v>
      </c>
      <c r="BZ33" s="226">
        <v>19376.0</v>
      </c>
      <c r="CA33" s="226">
        <v>10129.0</v>
      </c>
      <c r="CB33" s="226">
        <v>215979.0</v>
      </c>
      <c r="CC33" s="226">
        <v>5029.0</v>
      </c>
      <c r="CD33" s="218"/>
    </row>
    <row r="34" ht="14.25" customHeight="1">
      <c r="A34" s="181" t="s">
        <v>150</v>
      </c>
      <c r="B34" s="182">
        <v>751.0</v>
      </c>
      <c r="C34" s="182" t="s">
        <v>181</v>
      </c>
      <c r="D34" s="183">
        <v>13613.0</v>
      </c>
      <c r="E34" s="183">
        <v>11349.0</v>
      </c>
      <c r="F34" s="183">
        <f t="shared" si="1"/>
        <v>2264</v>
      </c>
      <c r="G34" s="185">
        <v>9504.0</v>
      </c>
      <c r="H34" s="35">
        <v>3523.0</v>
      </c>
      <c r="I34" s="183">
        <v>8170.0</v>
      </c>
      <c r="J34" s="183">
        <v>6478.0</v>
      </c>
      <c r="K34" s="183">
        <f t="shared" si="2"/>
        <v>1692</v>
      </c>
      <c r="L34" s="183">
        <f t="shared" si="3"/>
        <v>13614</v>
      </c>
      <c r="M34" s="183">
        <f>777+714</f>
        <v>1491</v>
      </c>
      <c r="N34" s="274">
        <f t="shared" si="4"/>
        <v>0.1095276574</v>
      </c>
      <c r="O34" s="183">
        <f>301+160</f>
        <v>461</v>
      </c>
      <c r="P34" s="274">
        <f t="shared" si="5"/>
        <v>0.03386468817</v>
      </c>
      <c r="Q34" s="183">
        <f>3548+2137</f>
        <v>5685</v>
      </c>
      <c r="R34" s="274">
        <f t="shared" si="6"/>
        <v>0.4176155146</v>
      </c>
      <c r="S34" s="183">
        <f>3544+2432</f>
        <v>5976</v>
      </c>
      <c r="T34" s="274">
        <f t="shared" si="7"/>
        <v>0.4389921399</v>
      </c>
      <c r="U34" s="183">
        <v>0.0</v>
      </c>
      <c r="V34" s="183">
        <v>0.0</v>
      </c>
      <c r="W34" s="185">
        <v>795.0</v>
      </c>
      <c r="X34" s="347">
        <f t="shared" si="8"/>
        <v>0.0836489899</v>
      </c>
      <c r="Y34" s="185">
        <v>228.0</v>
      </c>
      <c r="Z34" s="201">
        <f t="shared" si="9"/>
        <v>0.02398989899</v>
      </c>
      <c r="AA34" s="185">
        <v>4188.0</v>
      </c>
      <c r="AB34" s="201">
        <f t="shared" si="10"/>
        <v>0.4406565657</v>
      </c>
      <c r="AC34" s="185">
        <v>4293.0</v>
      </c>
      <c r="AD34" s="201">
        <f t="shared" si="11"/>
        <v>0.4517045455</v>
      </c>
      <c r="AE34" s="185">
        <v>554.0</v>
      </c>
      <c r="AF34" s="201">
        <f t="shared" si="28"/>
        <v>0.1572523418</v>
      </c>
      <c r="AG34" s="185">
        <v>210.0</v>
      </c>
      <c r="AH34" s="201">
        <f t="shared" si="29"/>
        <v>0.05960828839</v>
      </c>
      <c r="AI34" s="185">
        <v>1245.0</v>
      </c>
      <c r="AJ34" s="201">
        <f t="shared" si="30"/>
        <v>0.3533919955</v>
      </c>
      <c r="AK34" s="185">
        <v>1514.0</v>
      </c>
      <c r="AL34" s="201">
        <f t="shared" si="31"/>
        <v>0.4297473744</v>
      </c>
      <c r="AM34" s="35">
        <v>4384.0</v>
      </c>
      <c r="AN34" s="35">
        <v>3883.0</v>
      </c>
      <c r="AO34" s="183">
        <v>501.0</v>
      </c>
      <c r="AP34" s="183">
        <v>5524.0</v>
      </c>
      <c r="AQ34" s="183">
        <v>4576.0</v>
      </c>
      <c r="AR34" s="183">
        <f t="shared" si="16"/>
        <v>948</v>
      </c>
      <c r="AS34" s="35">
        <v>3705.0</v>
      </c>
      <c r="AT34" s="35">
        <v>2890.0</v>
      </c>
      <c r="AU34" s="183">
        <v>815.0</v>
      </c>
      <c r="AV34" s="183">
        <v>2319.0</v>
      </c>
      <c r="AW34" s="183">
        <v>2036.0</v>
      </c>
      <c r="AX34" s="183">
        <f t="shared" si="17"/>
        <v>283</v>
      </c>
      <c r="AY34" s="183">
        <v>4217.0</v>
      </c>
      <c r="AZ34" s="183">
        <v>3350.0</v>
      </c>
      <c r="BA34" s="183">
        <f t="shared" si="18"/>
        <v>867</v>
      </c>
      <c r="BB34" s="183">
        <v>864.0</v>
      </c>
      <c r="BC34" s="183">
        <v>730.0</v>
      </c>
      <c r="BD34" s="183">
        <f t="shared" si="19"/>
        <v>134</v>
      </c>
      <c r="BE34" s="183">
        <v>146.0</v>
      </c>
      <c r="BF34" s="183">
        <v>108.0</v>
      </c>
      <c r="BG34" s="183">
        <f t="shared" si="20"/>
        <v>38</v>
      </c>
      <c r="BH34" s="183">
        <v>1503.0</v>
      </c>
      <c r="BI34" s="183">
        <v>1244.0</v>
      </c>
      <c r="BJ34" s="183">
        <f t="shared" si="21"/>
        <v>259</v>
      </c>
      <c r="BK34" s="183">
        <v>3412.0</v>
      </c>
      <c r="BL34" s="349">
        <f t="shared" si="22"/>
        <v>0.2506427679</v>
      </c>
      <c r="BM34" s="183">
        <v>2907.0</v>
      </c>
      <c r="BN34" s="274">
        <f t="shared" si="26"/>
        <v>0.851992966</v>
      </c>
      <c r="BO34" s="183">
        <f t="shared" si="23"/>
        <v>505</v>
      </c>
      <c r="BP34" s="35">
        <v>1765.0</v>
      </c>
      <c r="BQ34" s="35">
        <v>1508.0</v>
      </c>
      <c r="BR34" s="208">
        <f t="shared" si="27"/>
        <v>0.4419695193</v>
      </c>
      <c r="BS34" s="35">
        <v>72.0</v>
      </c>
      <c r="BT34" s="35">
        <v>67.0</v>
      </c>
      <c r="BU34" s="35">
        <v>0.0</v>
      </c>
      <c r="BV34" s="35">
        <v>0.0</v>
      </c>
      <c r="BW34" s="35">
        <v>2089.0</v>
      </c>
      <c r="BX34" s="35">
        <v>1289.0</v>
      </c>
      <c r="BY34" s="35">
        <v>34.0</v>
      </c>
      <c r="BZ34" s="226">
        <v>499.0</v>
      </c>
      <c r="CA34" s="226">
        <v>174.0</v>
      </c>
      <c r="CB34" s="226">
        <v>637.0</v>
      </c>
      <c r="CC34" s="226">
        <v>31.0</v>
      </c>
      <c r="CD34" s="218"/>
    </row>
    <row r="35" ht="14.25" customHeight="1">
      <c r="A35" s="181" t="s">
        <v>148</v>
      </c>
      <c r="B35" s="182">
        <v>855.0</v>
      </c>
      <c r="C35" s="182" t="s">
        <v>182</v>
      </c>
      <c r="D35" s="183">
        <v>569920.0</v>
      </c>
      <c r="E35" s="183">
        <v>315845.0</v>
      </c>
      <c r="F35" s="183">
        <f t="shared" si="1"/>
        <v>254075</v>
      </c>
      <c r="G35" s="185">
        <v>219879.0</v>
      </c>
      <c r="H35" s="114">
        <v>258225.0</v>
      </c>
      <c r="I35" s="183">
        <v>427603.0</v>
      </c>
      <c r="J35" s="183">
        <v>221166.0</v>
      </c>
      <c r="K35" s="183">
        <f t="shared" si="2"/>
        <v>206437</v>
      </c>
      <c r="L35" s="183">
        <f t="shared" si="3"/>
        <v>569921</v>
      </c>
      <c r="M35" s="183">
        <f>46839+8872</f>
        <v>55711</v>
      </c>
      <c r="N35" s="274">
        <f t="shared" si="4"/>
        <v>0.09775231611</v>
      </c>
      <c r="O35" s="183">
        <f>59681+29651</f>
        <v>89332</v>
      </c>
      <c r="P35" s="274">
        <f t="shared" si="5"/>
        <v>0.1567448063</v>
      </c>
      <c r="Q35" s="183">
        <f>1570+1197</f>
        <v>2767</v>
      </c>
      <c r="R35" s="274">
        <f t="shared" si="6"/>
        <v>0.004855067378</v>
      </c>
      <c r="S35" s="183">
        <f>319513+102597</f>
        <v>422110</v>
      </c>
      <c r="T35" s="274">
        <f t="shared" si="7"/>
        <v>0.7406478102</v>
      </c>
      <c r="U35" s="183">
        <v>0.0</v>
      </c>
      <c r="V35" s="183">
        <v>0.0</v>
      </c>
      <c r="W35" s="185">
        <v>11864.0</v>
      </c>
      <c r="X35" s="347">
        <f t="shared" si="8"/>
        <v>0.05395694905</v>
      </c>
      <c r="Y35" s="185">
        <v>38874.0</v>
      </c>
      <c r="Z35" s="201">
        <f t="shared" si="9"/>
        <v>0.1767972385</v>
      </c>
      <c r="AA35" s="185">
        <v>1671.0</v>
      </c>
      <c r="AB35" s="201">
        <f t="shared" si="10"/>
        <v>0.007599634344</v>
      </c>
      <c r="AC35" s="185">
        <v>167470.0</v>
      </c>
      <c r="AD35" s="201">
        <f t="shared" si="11"/>
        <v>0.7616461781</v>
      </c>
      <c r="AE35" s="185">
        <v>36121.0</v>
      </c>
      <c r="AF35" s="201">
        <f t="shared" si="28"/>
        <v>0.139881886</v>
      </c>
      <c r="AG35" s="185">
        <v>38897.0</v>
      </c>
      <c r="AH35" s="201">
        <f t="shared" si="29"/>
        <v>0.1506322006</v>
      </c>
      <c r="AI35" s="185">
        <v>647.0</v>
      </c>
      <c r="AJ35" s="201">
        <f t="shared" si="30"/>
        <v>0.002505566851</v>
      </c>
      <c r="AK35" s="185">
        <v>182560.0</v>
      </c>
      <c r="AL35" s="201">
        <f t="shared" si="31"/>
        <v>0.7069803466</v>
      </c>
      <c r="AM35" s="35">
        <v>54436.0</v>
      </c>
      <c r="AN35" s="35">
        <v>30028.0</v>
      </c>
      <c r="AO35" s="183">
        <v>24408.0</v>
      </c>
      <c r="AP35" s="183">
        <v>166428.0</v>
      </c>
      <c r="AQ35" s="183">
        <v>85476.0</v>
      </c>
      <c r="AR35" s="183">
        <f t="shared" si="16"/>
        <v>80952</v>
      </c>
      <c r="AS35" s="35">
        <v>349056.0</v>
      </c>
      <c r="AT35" s="35">
        <v>200341.0</v>
      </c>
      <c r="AU35" s="183">
        <v>148715.0</v>
      </c>
      <c r="AV35" s="183">
        <v>84308.0</v>
      </c>
      <c r="AW35" s="183">
        <v>50457.0</v>
      </c>
      <c r="AX35" s="183">
        <f t="shared" si="17"/>
        <v>33851</v>
      </c>
      <c r="AY35" s="183">
        <v>380122.0</v>
      </c>
      <c r="AZ35" s="183">
        <v>216163.0</v>
      </c>
      <c r="BA35" s="183">
        <f t="shared" si="18"/>
        <v>163959</v>
      </c>
      <c r="BB35" s="183">
        <v>0.0</v>
      </c>
      <c r="BC35" s="183">
        <v>0.0</v>
      </c>
      <c r="BD35" s="183">
        <f t="shared" si="19"/>
        <v>0</v>
      </c>
      <c r="BE35" s="183">
        <v>37592.0</v>
      </c>
      <c r="BF35" s="183">
        <v>20138.0</v>
      </c>
      <c r="BG35" s="183">
        <f t="shared" si="20"/>
        <v>17454</v>
      </c>
      <c r="BH35" s="183">
        <v>41054.0</v>
      </c>
      <c r="BI35" s="183">
        <v>17193.0</v>
      </c>
      <c r="BJ35" s="183">
        <f t="shared" si="21"/>
        <v>23861</v>
      </c>
      <c r="BK35" s="183">
        <v>26844.0</v>
      </c>
      <c r="BL35" s="190">
        <f t="shared" si="22"/>
        <v>0.04710134756</v>
      </c>
      <c r="BM35" s="183">
        <v>11894.0</v>
      </c>
      <c r="BN35" s="274">
        <f t="shared" si="26"/>
        <v>0.4430785278</v>
      </c>
      <c r="BO35" s="183">
        <f t="shared" si="23"/>
        <v>14950</v>
      </c>
      <c r="BP35" s="35">
        <v>3489.0</v>
      </c>
      <c r="BQ35" s="35">
        <v>21241.0</v>
      </c>
      <c r="BR35" s="208">
        <f t="shared" si="27"/>
        <v>0.7912755178</v>
      </c>
      <c r="BS35" s="35">
        <v>242.0</v>
      </c>
      <c r="BT35" s="35">
        <v>1306.0</v>
      </c>
      <c r="BU35" s="35">
        <v>0.0</v>
      </c>
      <c r="BV35" s="35">
        <v>564.0</v>
      </c>
      <c r="BW35" s="35">
        <v>6966.0</v>
      </c>
      <c r="BX35" s="35">
        <v>15411.0</v>
      </c>
      <c r="BY35" s="35">
        <v>4467.0</v>
      </c>
      <c r="BZ35" s="226">
        <v>32082.0</v>
      </c>
      <c r="CA35" s="226">
        <v>0.0</v>
      </c>
      <c r="CB35" s="226">
        <v>163353.0</v>
      </c>
      <c r="CC35" s="226">
        <v>10834.0</v>
      </c>
      <c r="CD35" s="218"/>
    </row>
    <row r="36" ht="14.25" customHeight="1">
      <c r="A36" s="181" t="s">
        <v>150</v>
      </c>
      <c r="B36" s="182">
        <v>754.0</v>
      </c>
      <c r="C36" s="182" t="s">
        <v>183</v>
      </c>
      <c r="D36" s="183">
        <v>320894.0</v>
      </c>
      <c r="E36" s="183">
        <v>140628.0</v>
      </c>
      <c r="F36" s="183">
        <f t="shared" si="1"/>
        <v>180266</v>
      </c>
      <c r="G36" s="185">
        <v>127732.0</v>
      </c>
      <c r="H36" s="114">
        <v>176885.0</v>
      </c>
      <c r="I36" s="183">
        <v>194415.0</v>
      </c>
      <c r="J36" s="183">
        <v>66619.0</v>
      </c>
      <c r="K36" s="183">
        <f t="shared" si="2"/>
        <v>127796</v>
      </c>
      <c r="L36" s="183">
        <f t="shared" si="3"/>
        <v>320895</v>
      </c>
      <c r="M36" s="183">
        <f>78273+32870</f>
        <v>111143</v>
      </c>
      <c r="N36" s="274">
        <f t="shared" si="4"/>
        <v>0.3463542478</v>
      </c>
      <c r="O36" s="183">
        <f>23970+19221</f>
        <v>43191</v>
      </c>
      <c r="P36" s="274">
        <f t="shared" si="5"/>
        <v>0.1345958479</v>
      </c>
      <c r="Q36" s="183">
        <f>9185+13916</f>
        <v>23101</v>
      </c>
      <c r="R36" s="274">
        <f t="shared" si="6"/>
        <v>0.07198950432</v>
      </c>
      <c r="S36" s="183">
        <f>82987+60472</f>
        <v>143459</v>
      </c>
      <c r="T36" s="274">
        <f t="shared" si="7"/>
        <v>0.4470604</v>
      </c>
      <c r="U36" s="183">
        <v>0.0</v>
      </c>
      <c r="V36" s="183">
        <v>0.0</v>
      </c>
      <c r="W36" s="185">
        <v>29986.0</v>
      </c>
      <c r="X36" s="347">
        <f t="shared" si="8"/>
        <v>0.2347571478</v>
      </c>
      <c r="Y36" s="185">
        <v>19980.0</v>
      </c>
      <c r="Z36" s="201">
        <f t="shared" si="9"/>
        <v>0.156421257</v>
      </c>
      <c r="AA36" s="185">
        <v>12764.0</v>
      </c>
      <c r="AB36" s="201">
        <f t="shared" si="10"/>
        <v>0.0999279742</v>
      </c>
      <c r="AC36" s="185">
        <v>65002.0</v>
      </c>
      <c r="AD36" s="201">
        <f t="shared" si="11"/>
        <v>0.508893621</v>
      </c>
      <c r="AE36" s="185">
        <v>77227.0</v>
      </c>
      <c r="AF36" s="201">
        <f t="shared" si="28"/>
        <v>0.4365943975</v>
      </c>
      <c r="AG36" s="185">
        <v>21340.0</v>
      </c>
      <c r="AH36" s="201">
        <f t="shared" si="29"/>
        <v>0.1206433559</v>
      </c>
      <c r="AI36" s="185">
        <v>4452.0</v>
      </c>
      <c r="AJ36" s="201">
        <f t="shared" si="30"/>
        <v>0.02516889504</v>
      </c>
      <c r="AK36" s="185">
        <v>73866.0</v>
      </c>
      <c r="AL36" s="201">
        <f t="shared" si="31"/>
        <v>0.4175933516</v>
      </c>
      <c r="AM36" s="35">
        <v>24207.0</v>
      </c>
      <c r="AN36" s="35">
        <v>10061.0</v>
      </c>
      <c r="AO36" s="183">
        <v>14146.0</v>
      </c>
      <c r="AP36" s="183">
        <v>144848.0</v>
      </c>
      <c r="AQ36" s="183">
        <v>56565.0</v>
      </c>
      <c r="AR36" s="183">
        <f t="shared" si="16"/>
        <v>88283</v>
      </c>
      <c r="AS36" s="35">
        <v>151839.0</v>
      </c>
      <c r="AT36" s="35">
        <v>74002.0</v>
      </c>
      <c r="AU36" s="183">
        <v>77837.0</v>
      </c>
      <c r="AV36" s="183">
        <v>33645.0</v>
      </c>
      <c r="AW36" s="183">
        <v>19527.0</v>
      </c>
      <c r="AX36" s="183">
        <f t="shared" si="17"/>
        <v>14118</v>
      </c>
      <c r="AY36" s="183">
        <v>206909.0</v>
      </c>
      <c r="AZ36" s="183">
        <v>100404.0</v>
      </c>
      <c r="BA36" s="183">
        <f t="shared" si="18"/>
        <v>106505</v>
      </c>
      <c r="BB36" s="183">
        <v>0.0</v>
      </c>
      <c r="BC36" s="183">
        <v>0.0</v>
      </c>
      <c r="BD36" s="183">
        <f t="shared" si="19"/>
        <v>0</v>
      </c>
      <c r="BE36" s="183">
        <v>9973.0</v>
      </c>
      <c r="BF36" s="183">
        <v>4974.0</v>
      </c>
      <c r="BG36" s="183">
        <f t="shared" si="20"/>
        <v>4999</v>
      </c>
      <c r="BH36" s="183">
        <v>27436.0</v>
      </c>
      <c r="BI36" s="183">
        <v>7206.0</v>
      </c>
      <c r="BJ36" s="183">
        <f t="shared" si="21"/>
        <v>20230</v>
      </c>
      <c r="BK36" s="183">
        <v>32739.0</v>
      </c>
      <c r="BL36" s="190">
        <f t="shared" si="22"/>
        <v>0.1020243445</v>
      </c>
      <c r="BM36" s="183">
        <v>6292.0</v>
      </c>
      <c r="BN36" s="353">
        <f t="shared" si="26"/>
        <v>0.1921866887</v>
      </c>
      <c r="BO36" s="183">
        <f t="shared" si="23"/>
        <v>26447</v>
      </c>
      <c r="BP36" s="35">
        <v>4674.0</v>
      </c>
      <c r="BQ36" s="35">
        <v>27357.0</v>
      </c>
      <c r="BR36" s="350">
        <f t="shared" si="27"/>
        <v>0.8356089068</v>
      </c>
      <c r="BS36" s="35">
        <v>266.0</v>
      </c>
      <c r="BT36" s="35">
        <v>396.0</v>
      </c>
      <c r="BU36" s="35">
        <v>0.0</v>
      </c>
      <c r="BV36" s="35">
        <v>22.0</v>
      </c>
      <c r="BW36" s="35">
        <v>4257.0</v>
      </c>
      <c r="BX36" s="35">
        <v>10973.0</v>
      </c>
      <c r="BY36" s="35">
        <v>17509.0</v>
      </c>
      <c r="BZ36" s="226">
        <v>16544.0</v>
      </c>
      <c r="CA36" s="226">
        <v>0.0</v>
      </c>
      <c r="CB36" s="226">
        <v>97686.0</v>
      </c>
      <c r="CC36" s="226">
        <v>3106.0</v>
      </c>
      <c r="CD36" s="218"/>
    </row>
    <row r="37" ht="14.25" customHeight="1">
      <c r="A37" s="181" t="s">
        <v>148</v>
      </c>
      <c r="B37" s="182">
        <v>834.0</v>
      </c>
      <c r="C37" s="182" t="s">
        <v>184</v>
      </c>
      <c r="D37" s="183">
        <v>36433.0</v>
      </c>
      <c r="E37" s="183">
        <v>29469.0</v>
      </c>
      <c r="F37" s="183">
        <f t="shared" si="1"/>
        <v>6964</v>
      </c>
      <c r="G37" s="185">
        <v>27559.0</v>
      </c>
      <c r="H37" s="35">
        <v>6191.0</v>
      </c>
      <c r="I37" s="183">
        <v>12734.0</v>
      </c>
      <c r="J37" s="183">
        <v>9246.0</v>
      </c>
      <c r="K37" s="183">
        <f t="shared" si="2"/>
        <v>3488</v>
      </c>
      <c r="L37" s="183">
        <f t="shared" si="3"/>
        <v>36434</v>
      </c>
      <c r="M37" s="183">
        <f>4858+6979</f>
        <v>11837</v>
      </c>
      <c r="N37" s="274">
        <f t="shared" si="4"/>
        <v>0.3248977575</v>
      </c>
      <c r="O37" s="183">
        <f>1746+4045</f>
        <v>5791</v>
      </c>
      <c r="P37" s="274">
        <f t="shared" si="5"/>
        <v>0.1589493042</v>
      </c>
      <c r="Q37" s="183">
        <f>4109+8035</f>
        <v>12144</v>
      </c>
      <c r="R37" s="274">
        <f t="shared" si="6"/>
        <v>0.3333241841</v>
      </c>
      <c r="S37" s="183">
        <f>2021+4640</f>
        <v>6661</v>
      </c>
      <c r="T37" s="274">
        <f t="shared" si="7"/>
        <v>0.1828287542</v>
      </c>
      <c r="U37" s="183">
        <v>0.0</v>
      </c>
      <c r="V37" s="183">
        <v>0.0</v>
      </c>
      <c r="W37" s="185">
        <v>8369.0</v>
      </c>
      <c r="X37" s="347">
        <f t="shared" si="8"/>
        <v>0.3036757502</v>
      </c>
      <c r="Y37" s="185">
        <v>4936.0</v>
      </c>
      <c r="Z37" s="201">
        <f t="shared" si="9"/>
        <v>0.1791066439</v>
      </c>
      <c r="AA37" s="185">
        <v>9094.0</v>
      </c>
      <c r="AB37" s="201">
        <f t="shared" si="10"/>
        <v>0.3299829457</v>
      </c>
      <c r="AC37" s="185">
        <v>5160.0</v>
      </c>
      <c r="AD37" s="201">
        <f t="shared" si="11"/>
        <v>0.1872346602</v>
      </c>
      <c r="AE37" s="185">
        <v>2211.0</v>
      </c>
      <c r="AF37" s="201">
        <f t="shared" si="28"/>
        <v>0.3571313197</v>
      </c>
      <c r="AG37" s="185">
        <v>453.0</v>
      </c>
      <c r="AH37" s="201">
        <f t="shared" si="29"/>
        <v>0.07317073171</v>
      </c>
      <c r="AI37" s="185">
        <v>2454.0</v>
      </c>
      <c r="AJ37" s="201">
        <f t="shared" si="30"/>
        <v>0.3963818446</v>
      </c>
      <c r="AK37" s="185">
        <v>1073.0</v>
      </c>
      <c r="AL37" s="201">
        <f t="shared" si="31"/>
        <v>0.173316104</v>
      </c>
      <c r="AM37" s="35">
        <v>12472.0</v>
      </c>
      <c r="AN37" s="35">
        <v>11305.0</v>
      </c>
      <c r="AO37" s="183">
        <v>1167.0</v>
      </c>
      <c r="AP37" s="183">
        <v>13219.0</v>
      </c>
      <c r="AQ37" s="183">
        <v>10520.0</v>
      </c>
      <c r="AR37" s="183">
        <f t="shared" si="16"/>
        <v>2699</v>
      </c>
      <c r="AS37" s="35">
        <v>10742.0</v>
      </c>
      <c r="AT37" s="35">
        <v>7644.0</v>
      </c>
      <c r="AU37" s="183">
        <v>3098.0</v>
      </c>
      <c r="AV37" s="183">
        <v>5148.0</v>
      </c>
      <c r="AW37" s="183">
        <v>4336.0</v>
      </c>
      <c r="AX37" s="183">
        <f t="shared" si="17"/>
        <v>812</v>
      </c>
      <c r="AY37" s="183">
        <v>8848.0</v>
      </c>
      <c r="AZ37" s="183">
        <v>6606.0</v>
      </c>
      <c r="BA37" s="183">
        <f t="shared" si="18"/>
        <v>2242</v>
      </c>
      <c r="BB37" s="183">
        <v>1013.0</v>
      </c>
      <c r="BC37" s="183">
        <v>837.0</v>
      </c>
      <c r="BD37" s="183">
        <f t="shared" si="19"/>
        <v>176</v>
      </c>
      <c r="BE37" s="183">
        <v>307.0</v>
      </c>
      <c r="BF37" s="183">
        <v>210.0</v>
      </c>
      <c r="BG37" s="183">
        <f t="shared" si="20"/>
        <v>97</v>
      </c>
      <c r="BH37" s="183">
        <v>7936.0</v>
      </c>
      <c r="BI37" s="183">
        <v>6166.0</v>
      </c>
      <c r="BJ37" s="183">
        <f t="shared" si="21"/>
        <v>1770</v>
      </c>
      <c r="BK37" s="183">
        <v>9496.0</v>
      </c>
      <c r="BL37" s="349">
        <f t="shared" si="22"/>
        <v>0.2606428238</v>
      </c>
      <c r="BM37" s="183">
        <v>8133.0</v>
      </c>
      <c r="BN37" s="274">
        <f t="shared" si="26"/>
        <v>0.8564658804</v>
      </c>
      <c r="BO37" s="183">
        <f t="shared" si="23"/>
        <v>1363</v>
      </c>
      <c r="BP37" s="35">
        <v>6650.0</v>
      </c>
      <c r="BQ37" s="35">
        <v>1958.0</v>
      </c>
      <c r="BR37" s="68">
        <f t="shared" si="27"/>
        <v>0.2061920809</v>
      </c>
      <c r="BS37" s="35">
        <v>30.0</v>
      </c>
      <c r="BT37" s="35">
        <v>289.0</v>
      </c>
      <c r="BU37" s="35">
        <v>196.0</v>
      </c>
      <c r="BV37" s="35">
        <v>373.0</v>
      </c>
      <c r="BW37" s="35">
        <v>6117.0</v>
      </c>
      <c r="BX37" s="35">
        <v>3217.0</v>
      </c>
      <c r="BY37" s="35">
        <v>162.0</v>
      </c>
      <c r="BZ37" s="226">
        <v>1061.0</v>
      </c>
      <c r="CA37" s="226">
        <v>268.0</v>
      </c>
      <c r="CB37" s="226">
        <v>1456.0</v>
      </c>
      <c r="CC37" s="226">
        <v>46.0</v>
      </c>
      <c r="CD37" s="218"/>
    </row>
    <row r="38" ht="14.25" customHeight="1">
      <c r="A38" s="368" t="s">
        <v>159</v>
      </c>
      <c r="B38" s="369">
        <v>851.0</v>
      </c>
      <c r="C38" s="369" t="s">
        <v>185</v>
      </c>
      <c r="D38" s="370">
        <v>1507828.0</v>
      </c>
      <c r="E38" s="370">
        <v>1218336.0</v>
      </c>
      <c r="F38" s="370">
        <f t="shared" si="1"/>
        <v>289492</v>
      </c>
      <c r="G38" s="371">
        <v>624874.0</v>
      </c>
      <c r="H38" s="372">
        <v>703949.0</v>
      </c>
      <c r="I38" s="370">
        <v>688755.0</v>
      </c>
      <c r="J38" s="370">
        <v>516276.0</v>
      </c>
      <c r="K38" s="370">
        <f t="shared" si="2"/>
        <v>172479</v>
      </c>
      <c r="L38" s="370">
        <f t="shared" si="3"/>
        <v>1507829</v>
      </c>
      <c r="M38" s="370">
        <f>343477+316423</f>
        <v>659900</v>
      </c>
      <c r="N38" s="373">
        <f t="shared" si="4"/>
        <v>0.4376493871</v>
      </c>
      <c r="O38" s="370">
        <f>77625+132477</f>
        <v>210102</v>
      </c>
      <c r="P38" s="373">
        <f t="shared" si="5"/>
        <v>0.1393408267</v>
      </c>
      <c r="Q38" s="370">
        <f>2768+4066</f>
        <v>6834</v>
      </c>
      <c r="R38" s="373">
        <f t="shared" si="6"/>
        <v>0.004532347191</v>
      </c>
      <c r="S38" s="370">
        <f>264885+366107</f>
        <v>630992</v>
      </c>
      <c r="T38" s="373">
        <f t="shared" si="7"/>
        <v>0.4184774391</v>
      </c>
      <c r="U38" s="370">
        <v>0.0</v>
      </c>
      <c r="V38" s="370">
        <v>0.0</v>
      </c>
      <c r="W38" s="371">
        <v>224420.0</v>
      </c>
      <c r="X38" s="374">
        <f t="shared" si="8"/>
        <v>0.3591444035</v>
      </c>
      <c r="Y38" s="371">
        <v>125116.0</v>
      </c>
      <c r="Z38" s="375">
        <f t="shared" si="9"/>
        <v>0.2002259656</v>
      </c>
      <c r="AA38" s="371">
        <v>3044.0</v>
      </c>
      <c r="AB38" s="375">
        <f t="shared" si="10"/>
        <v>0.004871382071</v>
      </c>
      <c r="AC38" s="371">
        <v>272294.0</v>
      </c>
      <c r="AD38" s="375">
        <f t="shared" si="11"/>
        <v>0.4357582489</v>
      </c>
      <c r="AE38" s="371">
        <v>352207.0</v>
      </c>
      <c r="AF38" s="375">
        <f t="shared" si="28"/>
        <v>0.5003302796</v>
      </c>
      <c r="AG38" s="371">
        <v>65081.0</v>
      </c>
      <c r="AH38" s="375">
        <f t="shared" si="29"/>
        <v>0.09245129974</v>
      </c>
      <c r="AI38" s="371">
        <v>3191.0</v>
      </c>
      <c r="AJ38" s="375">
        <f t="shared" si="30"/>
        <v>0.004532998839</v>
      </c>
      <c r="AK38" s="371">
        <v>283470.0</v>
      </c>
      <c r="AL38" s="375">
        <f t="shared" si="31"/>
        <v>0.4026854218</v>
      </c>
      <c r="AM38" s="376">
        <v>92818.0</v>
      </c>
      <c r="AN38" s="376">
        <v>77079.0</v>
      </c>
      <c r="AO38" s="370">
        <v>15739.0</v>
      </c>
      <c r="AP38" s="370">
        <v>710069.0</v>
      </c>
      <c r="AQ38" s="370">
        <v>599298.0</v>
      </c>
      <c r="AR38" s="370">
        <f t="shared" si="16"/>
        <v>110771</v>
      </c>
      <c r="AS38" s="376">
        <v>704941.0</v>
      </c>
      <c r="AT38" s="376">
        <v>541959.0</v>
      </c>
      <c r="AU38" s="370">
        <v>162982.0</v>
      </c>
      <c r="AV38" s="370">
        <v>316033.0</v>
      </c>
      <c r="AW38" s="370">
        <v>290310.0</v>
      </c>
      <c r="AX38" s="370">
        <f t="shared" si="17"/>
        <v>25723</v>
      </c>
      <c r="AY38" s="370">
        <v>695176.0</v>
      </c>
      <c r="AZ38" s="370">
        <v>547510.0</v>
      </c>
      <c r="BA38" s="370">
        <f t="shared" si="18"/>
        <v>147666</v>
      </c>
      <c r="BB38" s="370">
        <v>58631.0</v>
      </c>
      <c r="BC38" s="370">
        <v>50228.0</v>
      </c>
      <c r="BD38" s="370">
        <f t="shared" si="19"/>
        <v>8403</v>
      </c>
      <c r="BE38" s="370">
        <v>25352.0</v>
      </c>
      <c r="BF38" s="370">
        <v>19554.0</v>
      </c>
      <c r="BG38" s="370">
        <f t="shared" si="20"/>
        <v>5798</v>
      </c>
      <c r="BH38" s="370">
        <v>151382.0</v>
      </c>
      <c r="BI38" s="370">
        <v>113589.0</v>
      </c>
      <c r="BJ38" s="370">
        <f t="shared" si="21"/>
        <v>37793</v>
      </c>
      <c r="BK38" s="370">
        <v>224740.0</v>
      </c>
      <c r="BL38" s="377">
        <f t="shared" si="22"/>
        <v>0.1490488305</v>
      </c>
      <c r="BM38" s="370">
        <v>168601.0</v>
      </c>
      <c r="BN38" s="274">
        <f t="shared" si="26"/>
        <v>0.750204681</v>
      </c>
      <c r="BO38" s="370">
        <f t="shared" si="23"/>
        <v>56139</v>
      </c>
      <c r="BP38" s="376">
        <v>27718.0</v>
      </c>
      <c r="BQ38" s="376">
        <v>153928.0</v>
      </c>
      <c r="BR38" s="208">
        <f t="shared" si="27"/>
        <v>0.6849159028</v>
      </c>
      <c r="BS38" s="376">
        <v>640.0</v>
      </c>
      <c r="BT38" s="376">
        <v>7462.0</v>
      </c>
      <c r="BU38" s="376">
        <v>30015.0</v>
      </c>
      <c r="BV38" s="376">
        <v>4876.0</v>
      </c>
      <c r="BW38" s="376">
        <v>148508.0</v>
      </c>
      <c r="BX38" s="376">
        <v>20962.0</v>
      </c>
      <c r="BY38" s="376">
        <v>55170.0</v>
      </c>
      <c r="BZ38" s="378">
        <v>57629.0</v>
      </c>
      <c r="CA38" s="378">
        <v>27101.0</v>
      </c>
      <c r="CB38" s="378">
        <v>344859.0</v>
      </c>
      <c r="CC38" s="378">
        <v>10974.0</v>
      </c>
      <c r="CD38" s="379"/>
    </row>
    <row r="39" ht="14.25" customHeight="1">
      <c r="A39" s="181" t="s">
        <v>159</v>
      </c>
      <c r="B39" s="182">
        <v>719.0</v>
      </c>
      <c r="C39" s="182" t="s">
        <v>186</v>
      </c>
      <c r="D39" s="183">
        <v>123212.0</v>
      </c>
      <c r="E39" s="183">
        <v>84615.0</v>
      </c>
      <c r="F39" s="183">
        <f t="shared" si="1"/>
        <v>38597</v>
      </c>
      <c r="G39" s="185">
        <v>57282.0</v>
      </c>
      <c r="H39" s="114">
        <v>56329.0</v>
      </c>
      <c r="I39" s="183">
        <v>67764.0</v>
      </c>
      <c r="J39" s="183">
        <v>40258.0</v>
      </c>
      <c r="K39" s="183">
        <f t="shared" si="2"/>
        <v>27506</v>
      </c>
      <c r="L39" s="183">
        <f t="shared" si="3"/>
        <v>123192.9998</v>
      </c>
      <c r="M39" s="183">
        <f>49422+33893</f>
        <v>83315</v>
      </c>
      <c r="N39" s="274">
        <f t="shared" si="4"/>
        <v>0.676192254</v>
      </c>
      <c r="O39" s="183">
        <f>6437+9054</f>
        <v>15491</v>
      </c>
      <c r="P39" s="274">
        <f t="shared" si="5"/>
        <v>0.1257263903</v>
      </c>
      <c r="Q39" s="183">
        <f>1601+1550</f>
        <v>3151</v>
      </c>
      <c r="R39" s="274">
        <f t="shared" si="6"/>
        <v>0.02557380775</v>
      </c>
      <c r="S39" s="183">
        <f>10284+10951</f>
        <v>21235</v>
      </c>
      <c r="T39" s="274">
        <f t="shared" si="7"/>
        <v>0.1723452261</v>
      </c>
      <c r="U39" s="183">
        <v>0.0</v>
      </c>
      <c r="V39" s="183">
        <v>0.0</v>
      </c>
      <c r="W39" s="185">
        <v>35065.0</v>
      </c>
      <c r="X39" s="347">
        <f t="shared" si="8"/>
        <v>0.6121469222</v>
      </c>
      <c r="Y39" s="185">
        <v>10300.0</v>
      </c>
      <c r="Z39" s="201">
        <f t="shared" si="9"/>
        <v>0.1798121574</v>
      </c>
      <c r="AA39" s="185">
        <v>2043.0</v>
      </c>
      <c r="AB39" s="201">
        <f t="shared" si="10"/>
        <v>0.03566565413</v>
      </c>
      <c r="AC39" s="185">
        <v>9874.0</v>
      </c>
      <c r="AD39" s="201">
        <f t="shared" si="11"/>
        <v>0.1723752662</v>
      </c>
      <c r="AE39" s="297">
        <v>42835.0</v>
      </c>
      <c r="AF39" s="302">
        <f t="shared" si="28"/>
        <v>0.760443111</v>
      </c>
      <c r="AG39" s="297">
        <v>4071.0</v>
      </c>
      <c r="AH39" s="302">
        <f t="shared" si="29"/>
        <v>0.07227183156</v>
      </c>
      <c r="AI39" s="297">
        <v>950.0</v>
      </c>
      <c r="AJ39" s="302">
        <f t="shared" si="30"/>
        <v>0.01686520265</v>
      </c>
      <c r="AK39" s="297">
        <v>8473.0</v>
      </c>
      <c r="AL39" s="201">
        <f t="shared" si="31"/>
        <v>0.1504198548</v>
      </c>
      <c r="AM39" s="35">
        <v>4344.0</v>
      </c>
      <c r="AN39" s="35">
        <v>3102.0</v>
      </c>
      <c r="AO39" s="183">
        <v>1242.0</v>
      </c>
      <c r="AP39" s="183">
        <v>30780.0</v>
      </c>
      <c r="AQ39" s="183">
        <v>20725.0</v>
      </c>
      <c r="AR39" s="183">
        <f t="shared" si="16"/>
        <v>10055</v>
      </c>
      <c r="AS39" s="35">
        <v>88088.0</v>
      </c>
      <c r="AT39" s="35">
        <v>60788.0</v>
      </c>
      <c r="AU39" s="183">
        <v>27300.0</v>
      </c>
      <c r="AV39" s="183">
        <v>18209.0</v>
      </c>
      <c r="AW39" s="183">
        <v>14497.0</v>
      </c>
      <c r="AX39" s="183">
        <f t="shared" si="17"/>
        <v>3712</v>
      </c>
      <c r="AY39" s="183">
        <v>75123.0</v>
      </c>
      <c r="AZ39" s="183">
        <v>51317.0</v>
      </c>
      <c r="BA39" s="183">
        <f t="shared" si="18"/>
        <v>23806</v>
      </c>
      <c r="BB39" s="183">
        <v>3078.0</v>
      </c>
      <c r="BC39" s="183">
        <v>2141.0</v>
      </c>
      <c r="BD39" s="183">
        <f t="shared" si="19"/>
        <v>937</v>
      </c>
      <c r="BE39" s="183">
        <v>2582.0</v>
      </c>
      <c r="BF39" s="183">
        <v>1759.0</v>
      </c>
      <c r="BG39" s="183">
        <f t="shared" si="20"/>
        <v>823</v>
      </c>
      <c r="BH39" s="183">
        <v>9502.0</v>
      </c>
      <c r="BI39" s="183">
        <v>5825.0</v>
      </c>
      <c r="BJ39" s="183">
        <f t="shared" si="21"/>
        <v>3677</v>
      </c>
      <c r="BK39" s="183">
        <v>9239.0</v>
      </c>
      <c r="BL39" s="190">
        <f t="shared" si="22"/>
        <v>0.07498457942</v>
      </c>
      <c r="BM39" s="183">
        <v>5637.0</v>
      </c>
      <c r="BN39" s="274">
        <f t="shared" si="26"/>
        <v>0.6101309666</v>
      </c>
      <c r="BO39" s="183">
        <f t="shared" si="23"/>
        <v>3602</v>
      </c>
      <c r="BP39" s="35">
        <v>828.0</v>
      </c>
      <c r="BQ39" s="35">
        <v>7357.0</v>
      </c>
      <c r="BR39" s="208">
        <f t="shared" si="27"/>
        <v>0.7962983007</v>
      </c>
      <c r="BS39" s="35">
        <v>36.0</v>
      </c>
      <c r="BT39" s="35">
        <v>173.0</v>
      </c>
      <c r="BU39" s="35">
        <v>790.0</v>
      </c>
      <c r="BV39" s="35">
        <v>55.0</v>
      </c>
      <c r="BW39" s="35">
        <v>6700.0</v>
      </c>
      <c r="BX39" s="35">
        <v>1402.0</v>
      </c>
      <c r="BY39" s="35">
        <v>1137.0</v>
      </c>
      <c r="BZ39" s="226">
        <v>5046.0</v>
      </c>
      <c r="CA39" s="226">
        <v>1512.0</v>
      </c>
      <c r="CB39" s="226">
        <v>31350.0</v>
      </c>
      <c r="CC39" s="226">
        <v>865.0</v>
      </c>
      <c r="CD39" s="218"/>
    </row>
    <row r="40" ht="14.25" customHeight="1">
      <c r="A40" s="181" t="s">
        <v>153</v>
      </c>
      <c r="B40" s="182">
        <v>866.0</v>
      </c>
      <c r="C40" s="182" t="s">
        <v>187</v>
      </c>
      <c r="D40" s="183">
        <v>581687.0</v>
      </c>
      <c r="E40" s="183">
        <v>462312.0</v>
      </c>
      <c r="F40" s="183">
        <f t="shared" si="1"/>
        <v>119375</v>
      </c>
      <c r="G40" s="185">
        <v>471748.0</v>
      </c>
      <c r="H40" s="35">
        <v>94087.0</v>
      </c>
      <c r="I40" s="183">
        <v>253750.0</v>
      </c>
      <c r="J40" s="183">
        <v>181535.0</v>
      </c>
      <c r="K40" s="183">
        <f t="shared" si="2"/>
        <v>72215</v>
      </c>
      <c r="L40" s="183">
        <f t="shared" si="3"/>
        <v>581688</v>
      </c>
      <c r="M40" s="183">
        <f>171050+175689</f>
        <v>346739</v>
      </c>
      <c r="N40" s="274">
        <f t="shared" si="4"/>
        <v>0.5960920564</v>
      </c>
      <c r="O40" s="183">
        <f>42930+77730</f>
        <v>120660</v>
      </c>
      <c r="P40" s="274">
        <f t="shared" si="5"/>
        <v>0.2074311442</v>
      </c>
      <c r="Q40" s="183">
        <f>9822+16109</f>
        <v>25931</v>
      </c>
      <c r="R40" s="274">
        <f t="shared" si="6"/>
        <v>0.04457895741</v>
      </c>
      <c r="S40" s="183">
        <f>29948+58409</f>
        <v>88357</v>
      </c>
      <c r="T40" s="274">
        <f t="shared" si="7"/>
        <v>0.151897842</v>
      </c>
      <c r="U40" s="183">
        <v>0.0</v>
      </c>
      <c r="V40" s="183">
        <v>0.0</v>
      </c>
      <c r="W40" s="185">
        <v>270456.0</v>
      </c>
      <c r="X40" s="347">
        <f t="shared" si="8"/>
        <v>0.5733060871</v>
      </c>
      <c r="Y40" s="185">
        <v>109262.0</v>
      </c>
      <c r="Z40" s="201">
        <f t="shared" si="9"/>
        <v>0.2316109448</v>
      </c>
      <c r="AA40" s="185">
        <v>22492.0</v>
      </c>
      <c r="AB40" s="201">
        <f t="shared" si="10"/>
        <v>0.04767799757</v>
      </c>
      <c r="AC40" s="185">
        <v>69538.0</v>
      </c>
      <c r="AD40" s="201">
        <f t="shared" si="11"/>
        <v>0.1474049705</v>
      </c>
      <c r="AE40" s="185">
        <v>66345.0</v>
      </c>
      <c r="AF40" s="201">
        <f t="shared" si="28"/>
        <v>0.7051452379</v>
      </c>
      <c r="AG40" s="185">
        <v>9371.0</v>
      </c>
      <c r="AH40" s="201">
        <f t="shared" si="29"/>
        <v>0.09959930702</v>
      </c>
      <c r="AI40" s="185">
        <v>3068.0</v>
      </c>
      <c r="AJ40" s="201">
        <f t="shared" si="30"/>
        <v>0.03260811802</v>
      </c>
      <c r="AK40" s="185">
        <v>15303.0</v>
      </c>
      <c r="AL40" s="201">
        <f t="shared" si="31"/>
        <v>0.162647337</v>
      </c>
      <c r="AM40" s="35">
        <v>136638.0</v>
      </c>
      <c r="AN40" s="35">
        <v>122934.0</v>
      </c>
      <c r="AO40" s="183">
        <v>13704.0</v>
      </c>
      <c r="AP40" s="183">
        <v>262388.0</v>
      </c>
      <c r="AQ40" s="183">
        <v>208646.0</v>
      </c>
      <c r="AR40" s="183">
        <f t="shared" si="16"/>
        <v>53742</v>
      </c>
      <c r="AS40" s="35">
        <v>182661.0</v>
      </c>
      <c r="AT40" s="35">
        <v>130732.0</v>
      </c>
      <c r="AU40" s="183">
        <v>51929.0</v>
      </c>
      <c r="AV40" s="183">
        <v>222731.0</v>
      </c>
      <c r="AW40" s="183">
        <v>190646.0</v>
      </c>
      <c r="AX40" s="183">
        <f t="shared" si="17"/>
        <v>32085</v>
      </c>
      <c r="AY40" s="183">
        <v>220143.0</v>
      </c>
      <c r="AZ40" s="183">
        <v>159488.0</v>
      </c>
      <c r="BA40" s="183">
        <f t="shared" si="18"/>
        <v>60655</v>
      </c>
      <c r="BB40" s="183">
        <v>17429.0</v>
      </c>
      <c r="BC40" s="183">
        <v>14865.0</v>
      </c>
      <c r="BD40" s="183">
        <f t="shared" si="19"/>
        <v>2564</v>
      </c>
      <c r="BE40" s="183">
        <v>2528.0</v>
      </c>
      <c r="BF40" s="183">
        <v>1613.0</v>
      </c>
      <c r="BG40" s="183">
        <f t="shared" si="20"/>
        <v>915</v>
      </c>
      <c r="BH40" s="183">
        <v>51338.0</v>
      </c>
      <c r="BI40" s="183">
        <v>41092.0</v>
      </c>
      <c r="BJ40" s="183">
        <f t="shared" si="21"/>
        <v>10246</v>
      </c>
      <c r="BK40" s="183">
        <v>59656.0</v>
      </c>
      <c r="BL40" s="190">
        <f t="shared" si="22"/>
        <v>0.1025568734</v>
      </c>
      <c r="BM40" s="183">
        <v>48419.0</v>
      </c>
      <c r="BN40" s="274">
        <f t="shared" si="26"/>
        <v>0.8116367172</v>
      </c>
      <c r="BO40" s="183">
        <f t="shared" si="23"/>
        <v>11237</v>
      </c>
      <c r="BP40" s="35">
        <v>21778.0</v>
      </c>
      <c r="BQ40" s="35">
        <v>32097.0</v>
      </c>
      <c r="BR40" s="208">
        <f t="shared" si="27"/>
        <v>0.5380347325</v>
      </c>
      <c r="BS40" s="35">
        <v>124.0</v>
      </c>
      <c r="BT40" s="35">
        <v>163.0</v>
      </c>
      <c r="BU40" s="35">
        <v>0.0</v>
      </c>
      <c r="BV40" s="35">
        <v>5449.0</v>
      </c>
      <c r="BW40" s="35">
        <v>48612.0</v>
      </c>
      <c r="BX40" s="35">
        <v>3553.0</v>
      </c>
      <c r="BY40" s="35">
        <v>7491.0</v>
      </c>
      <c r="BZ40" s="226">
        <v>21631.0</v>
      </c>
      <c r="CA40" s="226">
        <v>3443.0</v>
      </c>
      <c r="CB40" s="226">
        <v>23319.0</v>
      </c>
      <c r="CC40" s="226">
        <v>926.0</v>
      </c>
      <c r="CD40" s="218"/>
    </row>
    <row r="41" ht="14.25" customHeight="1">
      <c r="C41" s="380" t="s">
        <v>67</v>
      </c>
      <c r="D41" s="237">
        <f t="shared" ref="D41:F41" si="32">SUM(D5:D40)</f>
        <v>9507123</v>
      </c>
      <c r="E41" s="237">
        <f t="shared" si="32"/>
        <v>6663836</v>
      </c>
      <c r="F41" s="237">
        <f t="shared" si="32"/>
        <v>2843287</v>
      </c>
      <c r="G41" s="125">
        <v>4681968.0</v>
      </c>
      <c r="H41" s="125">
        <v>3540647.0</v>
      </c>
      <c r="I41" s="237">
        <f t="shared" ref="I41:K41" si="33">SUM(I5:I40)</f>
        <v>4876732</v>
      </c>
      <c r="J41" s="237">
        <f t="shared" si="33"/>
        <v>2963057</v>
      </c>
      <c r="K41" s="237">
        <f t="shared" si="33"/>
        <v>1913675</v>
      </c>
      <c r="L41" s="237">
        <f t="shared" si="3"/>
        <v>9507104</v>
      </c>
      <c r="M41" s="237">
        <f>SUM(M5:M40)</f>
        <v>3948792</v>
      </c>
      <c r="N41" s="274">
        <f t="shared" si="4"/>
        <v>0.4153508901</v>
      </c>
      <c r="O41" s="237">
        <f>SUM(O5:O40)</f>
        <v>1184307</v>
      </c>
      <c r="P41" s="274">
        <f t="shared" si="5"/>
        <v>0.1245704931</v>
      </c>
      <c r="Q41" s="237">
        <f>SUM(Q5:Q40)</f>
        <v>726728</v>
      </c>
      <c r="R41" s="274">
        <f t="shared" si="6"/>
        <v>0.07644037003</v>
      </c>
      <c r="S41" s="237">
        <f>SUM(S5:S40)</f>
        <v>3647276</v>
      </c>
      <c r="T41" s="274">
        <f t="shared" si="7"/>
        <v>0.3836361431</v>
      </c>
      <c r="U41" s="237">
        <f t="shared" ref="U41:W41" si="34">SUM(U5:U40)</f>
        <v>0</v>
      </c>
      <c r="V41" s="237">
        <f t="shared" si="34"/>
        <v>0</v>
      </c>
      <c r="W41" s="237">
        <f t="shared" si="34"/>
        <v>1625413</v>
      </c>
      <c r="X41" s="347">
        <f t="shared" si="8"/>
        <v>0.347164483</v>
      </c>
      <c r="Y41" s="237">
        <f>SUM(Y5:Y40)</f>
        <v>722126</v>
      </c>
      <c r="Z41" s="201">
        <f t="shared" si="9"/>
        <v>0.1542355693</v>
      </c>
      <c r="AA41" s="237">
        <f>SUM(AA5:AA40)</f>
        <v>467655</v>
      </c>
      <c r="AB41" s="201">
        <f t="shared" si="10"/>
        <v>0.09988427943</v>
      </c>
      <c r="AC41" s="237">
        <f>SUM(AC5:AC40)</f>
        <v>1816426</v>
      </c>
      <c r="AD41" s="201">
        <f t="shared" si="11"/>
        <v>0.3879620707</v>
      </c>
      <c r="AE41" s="237">
        <f>SUM(AE5:AE40)</f>
        <v>1802690</v>
      </c>
      <c r="AF41" s="201">
        <f t="shared" si="28"/>
        <v>0.5091414083</v>
      </c>
      <c r="AG41" s="237">
        <f>SUM(AG5:AG40)</f>
        <v>316292</v>
      </c>
      <c r="AH41" s="201">
        <f t="shared" si="29"/>
        <v>0.08933169559</v>
      </c>
      <c r="AI41" s="237">
        <f>SUM(AI5:AI40)</f>
        <v>124439</v>
      </c>
      <c r="AJ41" s="201">
        <f t="shared" si="30"/>
        <v>0.03514583634</v>
      </c>
      <c r="AK41" s="237">
        <f>SUM(AK5:AK40)</f>
        <v>1297226</v>
      </c>
      <c r="AL41" s="201">
        <f t="shared" si="31"/>
        <v>0.3663810597</v>
      </c>
      <c r="AM41" s="237">
        <v>1545930.0</v>
      </c>
      <c r="AN41" s="237">
        <v>1228035.0</v>
      </c>
      <c r="AO41" s="183">
        <v>317895.0</v>
      </c>
      <c r="AP41" s="237">
        <f t="shared" ref="AP41:AR41" si="35">SUM(AP5:AP40)</f>
        <v>3939417</v>
      </c>
      <c r="AQ41" s="237">
        <f t="shared" si="35"/>
        <v>2789750</v>
      </c>
      <c r="AR41" s="237">
        <f t="shared" si="35"/>
        <v>1149667</v>
      </c>
      <c r="AS41" s="237">
        <v>4021776.0</v>
      </c>
      <c r="AT41" s="237">
        <v>2646051.0</v>
      </c>
      <c r="AU41" s="237">
        <v>1375725.0</v>
      </c>
      <c r="AV41" s="237">
        <f t="shared" ref="AV41:BK41" si="36">SUM(AV5:AV40)</f>
        <v>2503705</v>
      </c>
      <c r="AW41" s="237">
        <f t="shared" si="36"/>
        <v>2029632</v>
      </c>
      <c r="AX41" s="237">
        <f t="shared" si="36"/>
        <v>474073</v>
      </c>
      <c r="AY41" s="237">
        <f t="shared" si="36"/>
        <v>4383527</v>
      </c>
      <c r="AZ41" s="237">
        <f t="shared" si="36"/>
        <v>2842060</v>
      </c>
      <c r="BA41" s="237">
        <f t="shared" si="36"/>
        <v>1541467</v>
      </c>
      <c r="BB41" s="237">
        <f t="shared" si="36"/>
        <v>333611</v>
      </c>
      <c r="BC41" s="237">
        <f t="shared" si="36"/>
        <v>249230</v>
      </c>
      <c r="BD41" s="237">
        <f t="shared" si="36"/>
        <v>84381</v>
      </c>
      <c r="BE41" s="237">
        <f t="shared" si="36"/>
        <v>233942</v>
      </c>
      <c r="BF41" s="237">
        <f t="shared" si="36"/>
        <v>140578</v>
      </c>
      <c r="BG41" s="237">
        <f t="shared" si="36"/>
        <v>93364</v>
      </c>
      <c r="BH41" s="237">
        <f t="shared" si="36"/>
        <v>733749</v>
      </c>
      <c r="BI41" s="237">
        <f t="shared" si="36"/>
        <v>480944</v>
      </c>
      <c r="BJ41" s="237">
        <f t="shared" si="36"/>
        <v>252805</v>
      </c>
      <c r="BK41" s="237">
        <f t="shared" si="36"/>
        <v>903269</v>
      </c>
      <c r="BL41" s="235">
        <f t="shared" si="22"/>
        <v>0.09500971009</v>
      </c>
      <c r="BM41" s="237">
        <f>SUM(BM5:BM40)</f>
        <v>620261</v>
      </c>
      <c r="BN41" s="274">
        <f t="shared" si="26"/>
        <v>0.6866846975</v>
      </c>
      <c r="BO41" s="237">
        <f t="shared" ref="BO41:BQ41" si="37">SUM(BO5:BO40)</f>
        <v>283008</v>
      </c>
      <c r="BP41" s="237">
        <f t="shared" si="37"/>
        <v>193682</v>
      </c>
      <c r="BQ41" s="237">
        <f t="shared" si="37"/>
        <v>549416</v>
      </c>
      <c r="BR41" s="208">
        <f t="shared" si="27"/>
        <v>0.6082529125</v>
      </c>
      <c r="BS41" s="237">
        <f t="shared" ref="BS41:CC41" si="38">SUM(BS5:BS40)</f>
        <v>5533</v>
      </c>
      <c r="BT41" s="237">
        <f t="shared" si="38"/>
        <v>41203</v>
      </c>
      <c r="BU41" s="237">
        <f t="shared" si="38"/>
        <v>37985</v>
      </c>
      <c r="BV41" s="237">
        <f t="shared" si="38"/>
        <v>75271</v>
      </c>
      <c r="BW41" s="237">
        <f t="shared" si="38"/>
        <v>505829</v>
      </c>
      <c r="BX41" s="237">
        <f t="shared" si="38"/>
        <v>203080</v>
      </c>
      <c r="BY41" s="237">
        <f t="shared" si="38"/>
        <v>194260</v>
      </c>
      <c r="BZ41" s="237">
        <f t="shared" si="38"/>
        <v>449047</v>
      </c>
      <c r="CA41" s="237">
        <f t="shared" si="38"/>
        <v>122133</v>
      </c>
      <c r="CB41" s="237">
        <f t="shared" si="38"/>
        <v>1793437</v>
      </c>
      <c r="CC41" s="237">
        <f t="shared" si="38"/>
        <v>82946</v>
      </c>
      <c r="CD41" s="381"/>
    </row>
    <row r="42" ht="14.25" customHeight="1">
      <c r="L42" s="246"/>
      <c r="M42" s="246">
        <f>M41/D41</f>
        <v>0.4153508901</v>
      </c>
      <c r="N42" s="246"/>
      <c r="O42" s="246">
        <f>O41/D41</f>
        <v>0.1245704931</v>
      </c>
      <c r="P42" s="246"/>
      <c r="Q42" s="246">
        <f>Q41/D41</f>
        <v>0.07644037003</v>
      </c>
      <c r="R42" s="246"/>
      <c r="S42" s="246">
        <f>S41/D41</f>
        <v>0.3836361431</v>
      </c>
      <c r="T42" s="246"/>
      <c r="Y42" s="246"/>
      <c r="Z42" s="246"/>
      <c r="AA42" s="246"/>
      <c r="AB42" s="246"/>
      <c r="AC42" s="246"/>
      <c r="AD42" s="246"/>
      <c r="AG42" s="246"/>
      <c r="AH42" s="246"/>
      <c r="AI42" s="246"/>
      <c r="AJ42" s="246"/>
      <c r="AK42" s="246"/>
      <c r="AL42" s="246"/>
      <c r="AN42" s="53">
        <f>AN41/AM41</f>
        <v>0.7943664978</v>
      </c>
      <c r="AP42" s="246">
        <f>AP41/D41</f>
        <v>0.4143647873</v>
      </c>
      <c r="AQ42" s="53">
        <f>AQ41/AP41</f>
        <v>0.7081631622</v>
      </c>
      <c r="AS42" s="246">
        <f>AS41/D41</f>
        <v>0.4230276604</v>
      </c>
      <c r="AT42" s="53">
        <f>AT41/AS41</f>
        <v>0.6579309738</v>
      </c>
      <c r="AW42" s="53">
        <f>AW41/AV41</f>
        <v>0.8106514146</v>
      </c>
      <c r="AZ42" s="53">
        <f>AZ41/AY41</f>
        <v>0.6483500615</v>
      </c>
      <c r="BC42" s="53">
        <f>BC41/BB41</f>
        <v>0.7470676926</v>
      </c>
      <c r="BF42" s="53">
        <f>BF41/BE41</f>
        <v>0.6009096272</v>
      </c>
      <c r="BI42" s="53">
        <f>BI40/BH41</f>
        <v>0.05600280205</v>
      </c>
      <c r="BK42" s="246">
        <f>BK41/D41</f>
        <v>0.09500971009</v>
      </c>
      <c r="BL42" s="183"/>
      <c r="BM42" s="246">
        <f>BM41/BK41</f>
        <v>0.6866846975</v>
      </c>
      <c r="BP42" s="246">
        <f>BP41/BK41</f>
        <v>0.2144233888</v>
      </c>
      <c r="BQ42" s="246">
        <f>BQ41/BK41</f>
        <v>0.6082529125</v>
      </c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</row>
    <row r="43" ht="14.25" customHeight="1">
      <c r="J43" s="381"/>
    </row>
    <row r="44" ht="14.25" customHeight="1">
      <c r="L44" s="107" t="s">
        <v>269</v>
      </c>
      <c r="M44" s="20"/>
      <c r="N44" s="20"/>
      <c r="O44" s="20"/>
      <c r="P44" s="20"/>
      <c r="Q44" s="21"/>
      <c r="R44" s="382"/>
      <c r="AP44" s="247">
        <f>AP41+AS41</f>
        <v>7961193</v>
      </c>
    </row>
    <row r="45" ht="45.0" customHeight="1">
      <c r="A45" s="381"/>
      <c r="L45" s="161" t="s">
        <v>270</v>
      </c>
      <c r="M45" s="161" t="s">
        <v>271</v>
      </c>
      <c r="N45" s="161"/>
      <c r="O45" s="161" t="s">
        <v>272</v>
      </c>
      <c r="P45" s="161"/>
      <c r="Q45" s="161" t="s">
        <v>269</v>
      </c>
      <c r="R45" s="383"/>
    </row>
    <row r="46" ht="14.25" customHeight="1">
      <c r="L46" s="384" t="s">
        <v>273</v>
      </c>
      <c r="M46" s="385">
        <f t="shared" ref="M46:M58" si="39">Q46/O46</f>
        <v>0.02081018285</v>
      </c>
      <c r="N46" s="385"/>
      <c r="O46" s="384">
        <v>39596.0</v>
      </c>
      <c r="P46" s="384"/>
      <c r="Q46" s="226">
        <v>824.0</v>
      </c>
      <c r="R46" s="2"/>
      <c r="S46" s="53">
        <f>Q46/D41</f>
        <v>0.00008667185646</v>
      </c>
      <c r="T46" s="53"/>
    </row>
    <row r="47" ht="14.25" customHeight="1">
      <c r="L47" s="384" t="s">
        <v>52</v>
      </c>
      <c r="M47" s="385">
        <f t="shared" si="39"/>
        <v>0.02029339853</v>
      </c>
      <c r="N47" s="385"/>
      <c r="O47" s="384">
        <v>12270.0</v>
      </c>
      <c r="P47" s="384"/>
      <c r="Q47" s="226">
        <v>249.0</v>
      </c>
      <c r="R47" s="2"/>
      <c r="S47" s="53">
        <f>Q47/D41</f>
        <v>0.00002619088866</v>
      </c>
      <c r="T47" s="53"/>
    </row>
    <row r="48" ht="14.25" customHeight="1">
      <c r="L48" s="384" t="s">
        <v>39</v>
      </c>
      <c r="M48" s="385">
        <f t="shared" si="39"/>
        <v>0.03091423186</v>
      </c>
      <c r="N48" s="385"/>
      <c r="O48" s="384">
        <v>127320.0</v>
      </c>
      <c r="P48" s="384"/>
      <c r="Q48" s="226">
        <v>3936.0</v>
      </c>
      <c r="R48" s="2"/>
      <c r="S48" s="53">
        <f>Q48/D41</f>
        <v>0.0004140053726</v>
      </c>
      <c r="T48" s="53"/>
    </row>
    <row r="49" ht="14.25" customHeight="1">
      <c r="L49" s="226" t="s">
        <v>91</v>
      </c>
      <c r="M49" s="386">
        <f t="shared" si="39"/>
        <v>0.1046129862</v>
      </c>
      <c r="N49" s="386"/>
      <c r="O49" s="226">
        <v>4835241.0</v>
      </c>
      <c r="P49" s="226"/>
      <c r="Q49" s="226">
        <v>505829.0</v>
      </c>
      <c r="R49" s="2"/>
      <c r="S49" s="246">
        <f>Q49/D41</f>
        <v>0.05320526515</v>
      </c>
      <c r="T49" s="246"/>
    </row>
    <row r="50" ht="14.25" customHeight="1">
      <c r="L50" s="226" t="s">
        <v>274</v>
      </c>
      <c r="M50" s="386">
        <f t="shared" si="39"/>
        <v>0.1031136494</v>
      </c>
      <c r="N50" s="386"/>
      <c r="O50" s="226">
        <v>2433800.0</v>
      </c>
      <c r="P50" s="226"/>
      <c r="Q50" s="226">
        <v>250958.0</v>
      </c>
      <c r="R50" s="2"/>
      <c r="S50" s="246">
        <f>Q50/D41</f>
        <v>0.02639683951</v>
      </c>
      <c r="T50" s="246"/>
    </row>
    <row r="51" ht="14.25" customHeight="1">
      <c r="L51" s="226" t="s">
        <v>92</v>
      </c>
      <c r="M51" s="386">
        <f t="shared" si="39"/>
        <v>0.0794746875</v>
      </c>
      <c r="N51" s="386"/>
      <c r="O51" s="226">
        <v>2555279.0</v>
      </c>
      <c r="P51" s="226"/>
      <c r="Q51" s="226">
        <v>203080.0</v>
      </c>
      <c r="R51" s="2"/>
      <c r="S51" s="246">
        <f>Q51/D41</f>
        <v>0.02136082598</v>
      </c>
      <c r="T51" s="246"/>
    </row>
    <row r="52" ht="14.25" customHeight="1">
      <c r="L52" s="226" t="s">
        <v>93</v>
      </c>
      <c r="M52" s="386">
        <f t="shared" si="39"/>
        <v>0.09177913855</v>
      </c>
      <c r="N52" s="386"/>
      <c r="O52" s="226">
        <v>2116603.0</v>
      </c>
      <c r="P52" s="226"/>
      <c r="Q52" s="226">
        <v>194260.0</v>
      </c>
      <c r="R52" s="2"/>
      <c r="S52" s="246">
        <f>Q52/D41</f>
        <v>0.02043310053</v>
      </c>
      <c r="T52" s="246"/>
    </row>
    <row r="53" ht="14.25" customHeight="1">
      <c r="L53" s="226" t="s">
        <v>38</v>
      </c>
      <c r="M53" s="386">
        <f t="shared" si="39"/>
        <v>0.04136764711</v>
      </c>
      <c r="N53" s="386"/>
      <c r="O53" s="226">
        <v>4681968.0</v>
      </c>
      <c r="P53" s="226"/>
      <c r="Q53" s="226">
        <v>193682.0</v>
      </c>
      <c r="R53" s="2"/>
      <c r="S53" s="246">
        <f>Q53/D41</f>
        <v>0.02037230401</v>
      </c>
      <c r="T53" s="246"/>
    </row>
    <row r="54" ht="14.25" customHeight="1">
      <c r="L54" s="226" t="s">
        <v>74</v>
      </c>
      <c r="M54" s="386">
        <f t="shared" si="39"/>
        <v>0.155173899</v>
      </c>
      <c r="N54" s="386"/>
      <c r="O54" s="226">
        <v>3540647.0</v>
      </c>
      <c r="P54" s="226"/>
      <c r="Q54" s="226">
        <v>549416.0</v>
      </c>
      <c r="R54" s="2"/>
      <c r="S54" s="246">
        <f>Q54/D41</f>
        <v>0.05778993287</v>
      </c>
      <c r="T54" s="246"/>
    </row>
    <row r="55" ht="14.25" customHeight="1">
      <c r="L55" s="226" t="s">
        <v>73</v>
      </c>
      <c r="M55" s="387">
        <f t="shared" si="39"/>
        <v>0.0009098626386</v>
      </c>
      <c r="N55" s="387"/>
      <c r="O55" s="226">
        <v>6167964.0</v>
      </c>
      <c r="P55" s="226"/>
      <c r="Q55" s="388">
        <v>5612.0</v>
      </c>
    </row>
    <row r="56" ht="14.25" customHeight="1">
      <c r="L56" s="226" t="s">
        <v>42</v>
      </c>
      <c r="M56" s="386">
        <f t="shared" si="39"/>
        <v>0.05172156243</v>
      </c>
      <c r="N56" s="386"/>
      <c r="O56" s="226">
        <v>796631.0</v>
      </c>
      <c r="P56" s="226"/>
      <c r="Q56" s="388">
        <v>41203.0</v>
      </c>
    </row>
    <row r="57" ht="14.25" customHeight="1">
      <c r="L57" s="226" t="s">
        <v>75</v>
      </c>
      <c r="M57" s="386">
        <f t="shared" si="39"/>
        <v>0.4029084506</v>
      </c>
      <c r="N57" s="386"/>
      <c r="O57" s="226">
        <v>94277.0</v>
      </c>
      <c r="P57" s="226"/>
      <c r="Q57" s="388">
        <v>37985.0</v>
      </c>
    </row>
    <row r="58" ht="14.25" customHeight="1">
      <c r="L58" s="226" t="s">
        <v>48</v>
      </c>
      <c r="M58" s="386">
        <f t="shared" si="39"/>
        <v>0.3897588053</v>
      </c>
      <c r="N58" s="386"/>
      <c r="O58" s="388">
        <v>193122.0</v>
      </c>
      <c r="P58" s="388"/>
      <c r="Q58" s="388">
        <v>75271.0</v>
      </c>
    </row>
    <row r="59" ht="14.25" customHeight="1"/>
    <row r="60" ht="14.25" customHeight="1">
      <c r="L60" s="389" t="s">
        <v>275</v>
      </c>
      <c r="M60" s="327" t="s">
        <v>269</v>
      </c>
      <c r="N60" s="327"/>
      <c r="O60" s="390"/>
      <c r="P60" s="390"/>
      <c r="Q60" s="390"/>
      <c r="R60" s="391"/>
    </row>
    <row r="61" ht="14.25" customHeight="1">
      <c r="J61" s="392"/>
      <c r="L61" s="23"/>
      <c r="M61" s="161" t="s">
        <v>91</v>
      </c>
      <c r="N61" s="161"/>
      <c r="O61" s="161" t="s">
        <v>92</v>
      </c>
      <c r="P61" s="161"/>
      <c r="Q61" s="161" t="s">
        <v>93</v>
      </c>
      <c r="R61" s="383"/>
    </row>
    <row r="62" ht="14.25" customHeight="1">
      <c r="L62" s="226" t="s">
        <v>38</v>
      </c>
      <c r="M62" s="226">
        <v>112890.0</v>
      </c>
      <c r="N62" s="226"/>
      <c r="O62" s="226">
        <v>19458.0</v>
      </c>
      <c r="P62" s="226"/>
      <c r="Q62" s="388">
        <v>61334.0</v>
      </c>
    </row>
    <row r="63" ht="14.25" customHeight="1">
      <c r="L63" s="226" t="s">
        <v>74</v>
      </c>
      <c r="M63" s="226">
        <v>291374.0</v>
      </c>
      <c r="N63" s="226"/>
      <c r="O63" s="226">
        <v>167134.0</v>
      </c>
      <c r="P63" s="226"/>
      <c r="Q63" s="226">
        <v>90908.0</v>
      </c>
      <c r="R63" s="2"/>
    </row>
    <row r="64" ht="14.25" customHeight="1">
      <c r="L64" s="226" t="s">
        <v>73</v>
      </c>
      <c r="M64" s="226">
        <v>3214.0</v>
      </c>
      <c r="N64" s="226"/>
      <c r="O64" s="226">
        <v>1274.0</v>
      </c>
      <c r="P64" s="226"/>
      <c r="Q64" s="388">
        <v>1124.0</v>
      </c>
    </row>
    <row r="65" ht="14.25" customHeight="1">
      <c r="L65" s="226" t="s">
        <v>42</v>
      </c>
      <c r="M65" s="226">
        <v>5229.0</v>
      </c>
      <c r="N65" s="226"/>
      <c r="O65" s="226">
        <v>3092.0</v>
      </c>
      <c r="P65" s="226"/>
      <c r="Q65" s="226">
        <v>32882.0</v>
      </c>
      <c r="R65" s="2"/>
    </row>
    <row r="66" ht="14.25" customHeight="1">
      <c r="L66" s="226" t="s">
        <v>75</v>
      </c>
      <c r="M66" s="226">
        <v>29394.0</v>
      </c>
      <c r="N66" s="226"/>
      <c r="O66" s="226">
        <v>7590.0</v>
      </c>
      <c r="P66" s="226"/>
      <c r="Q66" s="226">
        <v>1001.0</v>
      </c>
      <c r="R66" s="2"/>
    </row>
    <row r="67" ht="14.25" customHeight="1">
      <c r="L67" s="226" t="s">
        <v>48</v>
      </c>
      <c r="M67" s="226">
        <v>63728.0</v>
      </c>
      <c r="N67" s="226"/>
      <c r="O67" s="226">
        <v>4532.0</v>
      </c>
      <c r="P67" s="226"/>
      <c r="Q67" s="388">
        <v>7011.0</v>
      </c>
    </row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8">
    <mergeCell ref="BK3:BY3"/>
    <mergeCell ref="BZ3:CC3"/>
    <mergeCell ref="AP3:AR3"/>
    <mergeCell ref="AS3:AU3"/>
    <mergeCell ref="AV3:AX3"/>
    <mergeCell ref="AY3:BA3"/>
    <mergeCell ref="BB3:BD3"/>
    <mergeCell ref="BE3:BG3"/>
    <mergeCell ref="BH3:BJ3"/>
    <mergeCell ref="L44:Q44"/>
    <mergeCell ref="L60:L61"/>
    <mergeCell ref="A3:A4"/>
    <mergeCell ref="B3:B4"/>
    <mergeCell ref="C3:C4"/>
    <mergeCell ref="D3:H3"/>
    <mergeCell ref="I3:K3"/>
    <mergeCell ref="L3:AK3"/>
    <mergeCell ref="AM3:AO3"/>
  </mergeCells>
  <conditionalFormatting sqref="BL5:BL41">
    <cfRule type="cellIs" dxfId="0" priority="1" operator="lessThanOrEqual">
      <formula>"10%"</formula>
    </cfRule>
  </conditionalFormatting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.57"/>
    <col customWidth="1" min="2" max="2" width="29.0"/>
    <col customWidth="1" min="3" max="3" width="13.43"/>
    <col customWidth="1" min="4" max="4" width="10.0"/>
    <col customWidth="1" min="5" max="5" width="12.0"/>
    <col customWidth="1" min="6" max="6" width="14.29"/>
    <col customWidth="1" min="7" max="7" width="14.14"/>
    <col customWidth="1" min="8" max="8" width="6.86"/>
    <col customWidth="1" min="9" max="9" width="6.43"/>
    <col customWidth="1" min="10" max="10" width="7.43"/>
    <col customWidth="1" min="11" max="11" width="9.43"/>
    <col customWidth="1" min="12" max="12" width="12.43"/>
    <col customWidth="1" min="13" max="13" width="6.86"/>
    <col customWidth="1" min="14" max="14" width="11.14"/>
    <col customWidth="1" min="15" max="15" width="8.71"/>
    <col customWidth="1" min="16" max="16" width="13.57"/>
    <col customWidth="1" min="17" max="17" width="12.86"/>
  </cols>
  <sheetData>
    <row r="1" ht="39.0" customHeight="1">
      <c r="A1" s="393" t="s">
        <v>276</v>
      </c>
      <c r="B1" s="394" t="s">
        <v>277</v>
      </c>
      <c r="C1" s="155" t="s">
        <v>278</v>
      </c>
      <c r="D1" s="155" t="s">
        <v>279</v>
      </c>
      <c r="E1" s="155" t="s">
        <v>280</v>
      </c>
      <c r="F1" s="155" t="s">
        <v>281</v>
      </c>
      <c r="G1" s="155" t="s">
        <v>282</v>
      </c>
      <c r="H1" s="155" t="s">
        <v>283</v>
      </c>
      <c r="I1" s="155" t="s">
        <v>284</v>
      </c>
      <c r="J1" s="155" t="s">
        <v>285</v>
      </c>
      <c r="K1" s="155" t="s">
        <v>286</v>
      </c>
      <c r="L1" s="156" t="s">
        <v>287</v>
      </c>
      <c r="M1" s="155" t="s">
        <v>288</v>
      </c>
      <c r="N1" s="156" t="s">
        <v>289</v>
      </c>
      <c r="O1" s="155" t="s">
        <v>290</v>
      </c>
      <c r="P1" s="156" t="s">
        <v>291</v>
      </c>
      <c r="Q1" s="155" t="s">
        <v>292</v>
      </c>
    </row>
    <row r="2">
      <c r="A2" s="395">
        <v>1.0</v>
      </c>
      <c r="B2" s="396" t="s">
        <v>293</v>
      </c>
      <c r="C2" s="397">
        <v>5281.0</v>
      </c>
      <c r="D2" s="397">
        <v>4043.0</v>
      </c>
      <c r="E2" s="397">
        <v>1029.0</v>
      </c>
      <c r="F2" s="397">
        <v>74.0</v>
      </c>
      <c r="G2" s="397">
        <v>215.0</v>
      </c>
      <c r="H2" s="398">
        <v>0.04</v>
      </c>
      <c r="I2" s="397">
        <v>59.0</v>
      </c>
      <c r="J2" s="397">
        <v>156.0</v>
      </c>
      <c r="K2" s="398">
        <v>0.73</v>
      </c>
      <c r="L2" s="397">
        <v>206.0</v>
      </c>
      <c r="M2" s="399">
        <v>0.05</v>
      </c>
      <c r="N2" s="400">
        <v>9.0</v>
      </c>
      <c r="O2" s="399">
        <v>0.01</v>
      </c>
      <c r="P2" s="400">
        <v>0.0</v>
      </c>
      <c r="Q2" s="399">
        <v>0.0</v>
      </c>
    </row>
    <row r="3">
      <c r="A3" s="395">
        <v>2.0</v>
      </c>
      <c r="B3" s="396" t="s">
        <v>294</v>
      </c>
      <c r="C3" s="397">
        <v>320724.0</v>
      </c>
      <c r="D3" s="397">
        <v>178805.0</v>
      </c>
      <c r="E3" s="397">
        <v>122464.0</v>
      </c>
      <c r="F3" s="397">
        <v>6146.0</v>
      </c>
      <c r="G3" s="397">
        <v>8969.0</v>
      </c>
      <c r="H3" s="398">
        <v>0.03</v>
      </c>
      <c r="I3" s="397">
        <v>4376.0</v>
      </c>
      <c r="J3" s="397">
        <v>4593.0</v>
      </c>
      <c r="K3" s="398">
        <v>0.51</v>
      </c>
      <c r="L3" s="397">
        <v>2614.0</v>
      </c>
      <c r="M3" s="398">
        <v>0.01</v>
      </c>
      <c r="N3" s="397">
        <v>3734.0</v>
      </c>
      <c r="O3" s="398">
        <v>0.03</v>
      </c>
      <c r="P3" s="397">
        <v>593.0</v>
      </c>
      <c r="Q3" s="398">
        <v>0.1</v>
      </c>
      <c r="R3" s="246"/>
    </row>
    <row r="4">
      <c r="A4" s="395">
        <v>3.0</v>
      </c>
      <c r="B4" s="396" t="s">
        <v>295</v>
      </c>
      <c r="C4" s="397">
        <v>23707.0</v>
      </c>
      <c r="D4" s="397">
        <v>15722.0</v>
      </c>
      <c r="E4" s="397">
        <v>5903.0</v>
      </c>
      <c r="F4" s="397">
        <v>1000.0</v>
      </c>
      <c r="G4" s="397">
        <v>332.0</v>
      </c>
      <c r="H4" s="398">
        <v>0.01</v>
      </c>
      <c r="I4" s="397">
        <v>145.0</v>
      </c>
      <c r="J4" s="397">
        <v>187.0</v>
      </c>
      <c r="K4" s="398">
        <v>0.56</v>
      </c>
      <c r="L4" s="397">
        <v>155.0</v>
      </c>
      <c r="M4" s="398">
        <v>0.01</v>
      </c>
      <c r="N4" s="397">
        <v>125.0</v>
      </c>
      <c r="O4" s="398">
        <v>0.02</v>
      </c>
      <c r="P4" s="397">
        <v>31.0</v>
      </c>
      <c r="Q4" s="398">
        <v>0.03</v>
      </c>
    </row>
    <row r="5">
      <c r="A5" s="395">
        <v>4.0</v>
      </c>
      <c r="B5" s="396" t="s">
        <v>296</v>
      </c>
      <c r="C5" s="397">
        <v>352944.0</v>
      </c>
      <c r="D5" s="397">
        <v>217563.0</v>
      </c>
      <c r="E5" s="397">
        <v>86582.0</v>
      </c>
      <c r="F5" s="397">
        <v>27251.0</v>
      </c>
      <c r="G5" s="397">
        <v>1766.0</v>
      </c>
      <c r="H5" s="398">
        <v>0.01</v>
      </c>
      <c r="I5" s="397">
        <v>956.0</v>
      </c>
      <c r="J5" s="397">
        <v>810.0</v>
      </c>
      <c r="K5" s="398">
        <v>0.46</v>
      </c>
      <c r="L5" s="397">
        <v>635.0</v>
      </c>
      <c r="M5" s="398">
        <v>0.0</v>
      </c>
      <c r="N5" s="397">
        <v>939.0</v>
      </c>
      <c r="O5" s="398">
        <v>0.01</v>
      </c>
      <c r="P5" s="397">
        <v>119.0</v>
      </c>
      <c r="Q5" s="398">
        <v>0.0</v>
      </c>
    </row>
    <row r="6">
      <c r="A6" s="395">
        <v>5.0</v>
      </c>
      <c r="B6" s="396" t="s">
        <v>297</v>
      </c>
      <c r="C6" s="397">
        <v>582876.0</v>
      </c>
      <c r="D6" s="397">
        <v>395189.0</v>
      </c>
      <c r="E6" s="397">
        <v>109949.0</v>
      </c>
      <c r="F6" s="397">
        <v>3585.0</v>
      </c>
      <c r="G6" s="397">
        <v>1817.0</v>
      </c>
      <c r="H6" s="398">
        <v>0.0</v>
      </c>
      <c r="I6" s="397">
        <v>1056.0</v>
      </c>
      <c r="J6" s="397">
        <v>761.0</v>
      </c>
      <c r="K6" s="398">
        <v>0.42</v>
      </c>
      <c r="L6" s="397">
        <v>250.0</v>
      </c>
      <c r="M6" s="398">
        <v>0.0</v>
      </c>
      <c r="N6" s="397">
        <v>893.0</v>
      </c>
      <c r="O6" s="398">
        <v>0.01</v>
      </c>
      <c r="P6" s="397">
        <v>52.0</v>
      </c>
      <c r="Q6" s="398">
        <v>0.01</v>
      </c>
    </row>
    <row r="7">
      <c r="A7" s="395">
        <v>6.0</v>
      </c>
      <c r="B7" s="396" t="s">
        <v>298</v>
      </c>
      <c r="C7" s="397">
        <v>9345.0</v>
      </c>
      <c r="D7" s="397">
        <v>4615.0</v>
      </c>
      <c r="E7" s="397">
        <v>3845.0</v>
      </c>
      <c r="F7" s="397">
        <v>283.0</v>
      </c>
      <c r="G7" s="397">
        <v>223.0</v>
      </c>
      <c r="H7" s="398">
        <v>0.02</v>
      </c>
      <c r="I7" s="397">
        <v>57.0</v>
      </c>
      <c r="J7" s="397">
        <v>166.0</v>
      </c>
      <c r="K7" s="398">
        <v>0.74</v>
      </c>
      <c r="L7" s="397">
        <v>197.0</v>
      </c>
      <c r="M7" s="398">
        <v>0.04</v>
      </c>
      <c r="N7" s="397">
        <v>19.0</v>
      </c>
      <c r="O7" s="398">
        <v>0.0</v>
      </c>
      <c r="P7" s="397">
        <v>3.0</v>
      </c>
      <c r="Q7" s="398">
        <v>0.01</v>
      </c>
    </row>
    <row r="8">
      <c r="A8" s="395">
        <v>7.0</v>
      </c>
      <c r="B8" s="396" t="s">
        <v>299</v>
      </c>
      <c r="C8" s="397">
        <v>260782.0</v>
      </c>
      <c r="D8" s="397">
        <v>176448.0</v>
      </c>
      <c r="E8" s="397">
        <v>78718.0</v>
      </c>
      <c r="F8" s="397">
        <v>2503.0</v>
      </c>
      <c r="G8" s="397">
        <v>4918.0</v>
      </c>
      <c r="H8" s="398">
        <v>0.02</v>
      </c>
      <c r="I8" s="397">
        <v>1888.0</v>
      </c>
      <c r="J8" s="397">
        <v>3030.0</v>
      </c>
      <c r="K8" s="398">
        <v>0.62</v>
      </c>
      <c r="L8" s="397">
        <v>825.0</v>
      </c>
      <c r="M8" s="398">
        <v>0.0</v>
      </c>
      <c r="N8" s="397">
        <v>3692.0</v>
      </c>
      <c r="O8" s="398">
        <v>0.05</v>
      </c>
      <c r="P8" s="397">
        <v>76.0</v>
      </c>
      <c r="Q8" s="398">
        <v>0.03</v>
      </c>
    </row>
    <row r="9">
      <c r="A9" s="395">
        <v>8.0</v>
      </c>
      <c r="B9" s="401" t="s">
        <v>300</v>
      </c>
      <c r="C9" s="397">
        <v>4489.0</v>
      </c>
      <c r="D9" s="397">
        <v>2745.0</v>
      </c>
      <c r="E9" s="397">
        <v>1384.0</v>
      </c>
      <c r="F9" s="397">
        <v>211.0</v>
      </c>
      <c r="G9" s="397">
        <v>150.0</v>
      </c>
      <c r="H9" s="398">
        <v>0.03</v>
      </c>
      <c r="I9" s="397">
        <v>58.0</v>
      </c>
      <c r="J9" s="397">
        <v>92.0</v>
      </c>
      <c r="K9" s="398">
        <v>0.61</v>
      </c>
      <c r="L9" s="397">
        <v>135.0</v>
      </c>
      <c r="M9" s="398">
        <v>0.05</v>
      </c>
      <c r="N9" s="397">
        <v>15.0</v>
      </c>
      <c r="O9" s="398">
        <v>0.01</v>
      </c>
      <c r="P9" s="397">
        <v>0.0</v>
      </c>
      <c r="Q9" s="398">
        <v>0.0</v>
      </c>
    </row>
    <row r="10">
      <c r="A10" s="402">
        <v>9.0</v>
      </c>
      <c r="B10" s="403" t="s">
        <v>301</v>
      </c>
      <c r="C10" s="404">
        <v>151600.0</v>
      </c>
      <c r="D10" s="404">
        <v>80846.0</v>
      </c>
      <c r="E10" s="404">
        <v>62411.0</v>
      </c>
      <c r="F10" s="404">
        <v>4614.0</v>
      </c>
      <c r="G10" s="404">
        <v>20900.0</v>
      </c>
      <c r="H10" s="405">
        <v>0.14</v>
      </c>
      <c r="I10" s="404">
        <v>5818.0</v>
      </c>
      <c r="J10" s="404">
        <v>15082.0</v>
      </c>
      <c r="K10" s="405">
        <v>0.72</v>
      </c>
      <c r="L10" s="404">
        <v>19987.0</v>
      </c>
      <c r="M10" s="405">
        <v>0.25</v>
      </c>
      <c r="N10" s="404">
        <v>807.0</v>
      </c>
      <c r="O10" s="405">
        <v>0.01</v>
      </c>
      <c r="P10" s="404">
        <v>91.0</v>
      </c>
      <c r="Q10" s="405">
        <v>0.02</v>
      </c>
    </row>
    <row r="11">
      <c r="A11" s="395">
        <v>10.0</v>
      </c>
      <c r="B11" s="396" t="s">
        <v>302</v>
      </c>
      <c r="C11" s="397">
        <v>13836.0</v>
      </c>
      <c r="D11" s="397">
        <v>2860.0</v>
      </c>
      <c r="E11" s="397">
        <v>1941.0</v>
      </c>
      <c r="F11" s="397">
        <v>8826.0</v>
      </c>
      <c r="G11" s="397">
        <v>322.0</v>
      </c>
      <c r="H11" s="398">
        <v>0.02</v>
      </c>
      <c r="I11" s="397">
        <v>77.0</v>
      </c>
      <c r="J11" s="397">
        <v>245.0</v>
      </c>
      <c r="K11" s="398">
        <v>0.76</v>
      </c>
      <c r="L11" s="397">
        <v>133.0</v>
      </c>
      <c r="M11" s="398">
        <v>0.05</v>
      </c>
      <c r="N11" s="397">
        <v>20.0</v>
      </c>
      <c r="O11" s="398">
        <v>0.01</v>
      </c>
      <c r="P11" s="397">
        <v>168.0</v>
      </c>
      <c r="Q11" s="398">
        <v>0.02</v>
      </c>
    </row>
    <row r="12">
      <c r="A12" s="395">
        <v>11.0</v>
      </c>
      <c r="B12" s="396" t="s">
        <v>303</v>
      </c>
      <c r="C12" s="397">
        <v>378118.0</v>
      </c>
      <c r="D12" s="397">
        <v>185185.0</v>
      </c>
      <c r="E12" s="397">
        <v>138832.0</v>
      </c>
      <c r="F12" s="397">
        <v>47156.0</v>
      </c>
      <c r="G12" s="397">
        <v>1299.0</v>
      </c>
      <c r="H12" s="398">
        <v>0.0</v>
      </c>
      <c r="I12" s="397">
        <v>547.0</v>
      </c>
      <c r="J12" s="397">
        <v>752.0</v>
      </c>
      <c r="K12" s="398">
        <v>0.58</v>
      </c>
      <c r="L12" s="397">
        <v>30.0</v>
      </c>
      <c r="M12" s="398">
        <v>0.0</v>
      </c>
      <c r="N12" s="397">
        <v>1189.0</v>
      </c>
      <c r="O12" s="398">
        <v>0.01</v>
      </c>
      <c r="P12" s="397">
        <v>48.0</v>
      </c>
      <c r="Q12" s="398">
        <v>0.0</v>
      </c>
    </row>
    <row r="13">
      <c r="A13" s="395">
        <v>12.0</v>
      </c>
      <c r="B13" s="396" t="s">
        <v>304</v>
      </c>
      <c r="C13" s="397">
        <v>237594.0</v>
      </c>
      <c r="D13" s="397">
        <v>92120.0</v>
      </c>
      <c r="E13" s="397">
        <v>136825.0</v>
      </c>
      <c r="F13" s="397">
        <v>323.0</v>
      </c>
      <c r="G13" s="397">
        <v>1528.0</v>
      </c>
      <c r="H13" s="398">
        <v>0.01</v>
      </c>
      <c r="I13" s="397">
        <v>593.0</v>
      </c>
      <c r="J13" s="397">
        <v>935.0</v>
      </c>
      <c r="K13" s="398">
        <v>0.61</v>
      </c>
      <c r="L13" s="397">
        <v>654.0</v>
      </c>
      <c r="M13" s="398">
        <v>0.01</v>
      </c>
      <c r="N13" s="397">
        <v>836.0</v>
      </c>
      <c r="O13" s="398">
        <v>0.01</v>
      </c>
      <c r="P13" s="397">
        <v>3.0</v>
      </c>
      <c r="Q13" s="398">
        <v>0.01</v>
      </c>
    </row>
    <row r="14">
      <c r="A14" s="395">
        <v>13.0</v>
      </c>
      <c r="B14" s="396" t="s">
        <v>305</v>
      </c>
      <c r="C14" s="397">
        <v>100137.0</v>
      </c>
      <c r="D14" s="397">
        <v>66039.0</v>
      </c>
      <c r="E14" s="397">
        <v>32878.0</v>
      </c>
      <c r="F14" s="397">
        <v>0.0</v>
      </c>
      <c r="G14" s="397">
        <v>1582.0</v>
      </c>
      <c r="H14" s="398">
        <v>0.02</v>
      </c>
      <c r="I14" s="397">
        <v>660.0</v>
      </c>
      <c r="J14" s="397">
        <v>922.0</v>
      </c>
      <c r="K14" s="398">
        <v>0.58</v>
      </c>
      <c r="L14" s="397">
        <v>1123.0</v>
      </c>
      <c r="M14" s="398">
        <v>0.02</v>
      </c>
      <c r="N14" s="397">
        <v>452.0</v>
      </c>
      <c r="O14" s="398">
        <v>0.01</v>
      </c>
      <c r="P14" s="397">
        <v>0.0</v>
      </c>
      <c r="Q14" s="398">
        <v>0.0</v>
      </c>
    </row>
    <row r="15">
      <c r="A15" s="395">
        <v>14.0</v>
      </c>
      <c r="B15" s="396" t="s">
        <v>306</v>
      </c>
      <c r="C15" s="397">
        <v>167106.0</v>
      </c>
      <c r="D15" s="397">
        <v>97116.0</v>
      </c>
      <c r="E15" s="397">
        <v>68031.0</v>
      </c>
      <c r="F15" s="397">
        <v>13.0</v>
      </c>
      <c r="G15" s="397">
        <v>558.0</v>
      </c>
      <c r="H15" s="398">
        <v>0.0</v>
      </c>
      <c r="I15" s="397">
        <v>265.0</v>
      </c>
      <c r="J15" s="397">
        <v>293.0</v>
      </c>
      <c r="K15" s="398">
        <v>0.53</v>
      </c>
      <c r="L15" s="397">
        <v>0.0</v>
      </c>
      <c r="M15" s="398">
        <v>0.0</v>
      </c>
      <c r="N15" s="397">
        <v>546.0</v>
      </c>
      <c r="O15" s="398">
        <v>0.01</v>
      </c>
      <c r="P15" s="397">
        <v>0.0</v>
      </c>
      <c r="Q15" s="398">
        <v>0.0</v>
      </c>
    </row>
    <row r="16">
      <c r="A16" s="395">
        <v>15.0</v>
      </c>
      <c r="B16" s="396" t="s">
        <v>307</v>
      </c>
      <c r="C16" s="397">
        <v>210418.0</v>
      </c>
      <c r="D16" s="397">
        <v>116000.0</v>
      </c>
      <c r="E16" s="397">
        <v>34422.0</v>
      </c>
      <c r="F16" s="397">
        <v>5277.0</v>
      </c>
      <c r="G16" s="397">
        <v>3799.0</v>
      </c>
      <c r="H16" s="398">
        <v>0.02</v>
      </c>
      <c r="I16" s="397">
        <v>1653.0</v>
      </c>
      <c r="J16" s="397">
        <v>2146.0</v>
      </c>
      <c r="K16" s="398">
        <v>0.56</v>
      </c>
      <c r="L16" s="397">
        <v>1421.0</v>
      </c>
      <c r="M16" s="398">
        <v>0.01</v>
      </c>
      <c r="N16" s="397">
        <v>360.0</v>
      </c>
      <c r="O16" s="398">
        <v>0.01</v>
      </c>
      <c r="P16" s="397">
        <v>298.0</v>
      </c>
      <c r="Q16" s="398">
        <v>0.06</v>
      </c>
    </row>
    <row r="17">
      <c r="A17" s="395">
        <v>16.0</v>
      </c>
      <c r="B17" s="396" t="s">
        <v>308</v>
      </c>
      <c r="C17" s="397">
        <v>431386.0</v>
      </c>
      <c r="D17" s="397">
        <v>189346.0</v>
      </c>
      <c r="E17" s="397">
        <v>189512.0</v>
      </c>
      <c r="F17" s="397">
        <v>42772.0</v>
      </c>
      <c r="G17" s="397">
        <v>6905.0</v>
      </c>
      <c r="H17" s="398">
        <v>0.02</v>
      </c>
      <c r="I17" s="397">
        <v>3241.0</v>
      </c>
      <c r="J17" s="397">
        <v>3664.0</v>
      </c>
      <c r="K17" s="398">
        <v>0.53</v>
      </c>
      <c r="L17" s="397">
        <v>560.0</v>
      </c>
      <c r="M17" s="398">
        <v>0.0</v>
      </c>
      <c r="N17" s="397">
        <v>4287.0</v>
      </c>
      <c r="O17" s="398">
        <v>0.02</v>
      </c>
      <c r="P17" s="397">
        <v>1066.0</v>
      </c>
      <c r="Q17" s="398">
        <v>0.02</v>
      </c>
    </row>
    <row r="18">
      <c r="A18" s="395">
        <v>17.0</v>
      </c>
      <c r="B18" s="396" t="s">
        <v>309</v>
      </c>
      <c r="C18" s="397">
        <v>268473.0</v>
      </c>
      <c r="D18" s="397">
        <v>74671.0</v>
      </c>
      <c r="E18" s="397">
        <v>67961.0</v>
      </c>
      <c r="F18" s="397">
        <v>116295.0</v>
      </c>
      <c r="G18" s="397">
        <v>1862.0</v>
      </c>
      <c r="H18" s="398">
        <v>0.01</v>
      </c>
      <c r="I18" s="397">
        <v>294.0</v>
      </c>
      <c r="J18" s="397">
        <v>1568.0</v>
      </c>
      <c r="K18" s="398">
        <v>0.84</v>
      </c>
      <c r="L18" s="397">
        <v>1039.0</v>
      </c>
      <c r="M18" s="398">
        <v>0.01</v>
      </c>
      <c r="N18" s="397">
        <v>265.0</v>
      </c>
      <c r="O18" s="398">
        <v>0.0</v>
      </c>
      <c r="P18" s="397">
        <v>526.0</v>
      </c>
      <c r="Q18" s="398">
        <v>0.0</v>
      </c>
    </row>
    <row r="19">
      <c r="A19" s="395">
        <v>18.0</v>
      </c>
      <c r="B19" s="396" t="s">
        <v>310</v>
      </c>
      <c r="C19" s="397">
        <v>6155.0</v>
      </c>
      <c r="D19" s="397">
        <v>4361.0</v>
      </c>
      <c r="E19" s="397">
        <v>1593.0</v>
      </c>
      <c r="F19" s="397">
        <v>79.0</v>
      </c>
      <c r="G19" s="397">
        <v>2.0</v>
      </c>
      <c r="H19" s="398">
        <v>0.0</v>
      </c>
      <c r="I19" s="397">
        <v>1.0</v>
      </c>
      <c r="J19" s="397">
        <v>1.0</v>
      </c>
      <c r="K19" s="398">
        <v>0.5</v>
      </c>
      <c r="L19" s="397">
        <v>0.0</v>
      </c>
      <c r="M19" s="398">
        <v>0.0</v>
      </c>
      <c r="N19" s="397">
        <v>2.0</v>
      </c>
      <c r="O19" s="398">
        <v>0.0</v>
      </c>
      <c r="P19" s="397">
        <v>0.0</v>
      </c>
      <c r="Q19" s="398">
        <v>0.0</v>
      </c>
    </row>
    <row r="20">
      <c r="A20" s="395">
        <v>19.0</v>
      </c>
      <c r="B20" s="396" t="s">
        <v>311</v>
      </c>
      <c r="C20" s="397">
        <v>806.0</v>
      </c>
      <c r="D20" s="397">
        <v>775.0</v>
      </c>
      <c r="E20" s="397">
        <v>0.0</v>
      </c>
      <c r="F20" s="397">
        <v>0.0</v>
      </c>
      <c r="G20" s="397">
        <v>0.0</v>
      </c>
      <c r="H20" s="398">
        <v>0.0</v>
      </c>
      <c r="I20" s="397">
        <v>0.0</v>
      </c>
      <c r="J20" s="397">
        <v>0.0</v>
      </c>
      <c r="K20" s="398">
        <v>0.0</v>
      </c>
      <c r="L20" s="397">
        <v>0.0</v>
      </c>
      <c r="M20" s="398">
        <v>0.0</v>
      </c>
      <c r="N20" s="397">
        <v>0.0</v>
      </c>
      <c r="O20" s="398">
        <v>0.0</v>
      </c>
      <c r="P20" s="397">
        <v>0.0</v>
      </c>
      <c r="Q20" s="398">
        <v>0.0</v>
      </c>
    </row>
    <row r="21">
      <c r="A21" s="395">
        <v>20.0</v>
      </c>
      <c r="B21" s="396" t="s">
        <v>312</v>
      </c>
      <c r="C21" s="397">
        <v>601208.0</v>
      </c>
      <c r="D21" s="397">
        <v>233190.0</v>
      </c>
      <c r="E21" s="397">
        <v>286418.0</v>
      </c>
      <c r="F21" s="397">
        <v>4591.0</v>
      </c>
      <c r="G21" s="397">
        <v>5264.0</v>
      </c>
      <c r="H21" s="398">
        <v>0.01</v>
      </c>
      <c r="I21" s="397">
        <v>2087.0</v>
      </c>
      <c r="J21" s="397">
        <v>3177.0</v>
      </c>
      <c r="K21" s="398">
        <v>0.6</v>
      </c>
      <c r="L21" s="397">
        <v>25.0</v>
      </c>
      <c r="M21" s="398">
        <v>0.0</v>
      </c>
      <c r="N21" s="397">
        <v>4844.0</v>
      </c>
      <c r="O21" s="398">
        <v>0.02</v>
      </c>
      <c r="P21" s="397">
        <v>341.0</v>
      </c>
      <c r="Q21" s="398">
        <v>0.07</v>
      </c>
    </row>
    <row r="22">
      <c r="A22" s="395">
        <v>21.0</v>
      </c>
      <c r="B22" s="396" t="s">
        <v>313</v>
      </c>
      <c r="C22" s="397">
        <v>748589.0</v>
      </c>
      <c r="D22" s="397">
        <v>232553.0</v>
      </c>
      <c r="E22" s="397">
        <v>215300.0</v>
      </c>
      <c r="F22" s="397">
        <v>286748.0</v>
      </c>
      <c r="G22" s="397">
        <v>3567.0</v>
      </c>
      <c r="H22" s="398">
        <v>0.0</v>
      </c>
      <c r="I22" s="397">
        <v>1707.0</v>
      </c>
      <c r="J22" s="397">
        <v>1860.0</v>
      </c>
      <c r="K22" s="398">
        <v>0.52</v>
      </c>
      <c r="L22" s="397">
        <v>128.0</v>
      </c>
      <c r="M22" s="398">
        <v>0.0</v>
      </c>
      <c r="N22" s="397">
        <v>1980.0</v>
      </c>
      <c r="O22" s="398">
        <v>0.01</v>
      </c>
      <c r="P22" s="397">
        <v>1354.0</v>
      </c>
      <c r="Q22" s="398">
        <v>0.0</v>
      </c>
    </row>
    <row r="23">
      <c r="A23" s="395">
        <v>22.0</v>
      </c>
      <c r="B23" s="396" t="s">
        <v>314</v>
      </c>
      <c r="C23" s="397">
        <v>42684.0</v>
      </c>
      <c r="D23" s="397">
        <v>12184.0</v>
      </c>
      <c r="E23" s="397">
        <v>20784.0</v>
      </c>
      <c r="F23" s="397">
        <v>2616.0</v>
      </c>
      <c r="G23" s="397">
        <v>425.0</v>
      </c>
      <c r="H23" s="398">
        <v>0.01</v>
      </c>
      <c r="I23" s="397">
        <v>198.0</v>
      </c>
      <c r="J23" s="397">
        <v>227.0</v>
      </c>
      <c r="K23" s="398">
        <v>0.53</v>
      </c>
      <c r="L23" s="397">
        <v>82.0</v>
      </c>
      <c r="M23" s="398">
        <v>0.01</v>
      </c>
      <c r="N23" s="397">
        <v>300.0</v>
      </c>
      <c r="O23" s="398">
        <v>0.01</v>
      </c>
      <c r="P23" s="397">
        <v>24.0</v>
      </c>
      <c r="Q23" s="398">
        <v>0.01</v>
      </c>
    </row>
    <row r="24">
      <c r="A24" s="395">
        <v>23.0</v>
      </c>
      <c r="B24" s="396" t="s">
        <v>315</v>
      </c>
      <c r="C24" s="397">
        <v>55160.0</v>
      </c>
      <c r="D24" s="397">
        <v>22549.0</v>
      </c>
      <c r="E24" s="397">
        <v>12209.0</v>
      </c>
      <c r="F24" s="397">
        <v>17658.0</v>
      </c>
      <c r="G24" s="397">
        <v>557.0</v>
      </c>
      <c r="H24" s="398">
        <v>0.01</v>
      </c>
      <c r="I24" s="397">
        <v>202.0</v>
      </c>
      <c r="J24" s="397">
        <v>355.0</v>
      </c>
      <c r="K24" s="398">
        <v>0.64</v>
      </c>
      <c r="L24" s="397">
        <v>108.0</v>
      </c>
      <c r="M24" s="398">
        <v>0.0</v>
      </c>
      <c r="N24" s="397">
        <v>257.0</v>
      </c>
      <c r="O24" s="398">
        <v>0.02</v>
      </c>
      <c r="P24" s="397">
        <v>123.0</v>
      </c>
      <c r="Q24" s="398">
        <v>0.01</v>
      </c>
    </row>
    <row r="25">
      <c r="A25" s="395">
        <v>24.0</v>
      </c>
      <c r="B25" s="396" t="s">
        <v>316</v>
      </c>
      <c r="C25" s="397">
        <v>23366.0</v>
      </c>
      <c r="D25" s="397">
        <v>13357.0</v>
      </c>
      <c r="E25" s="397">
        <v>7375.0</v>
      </c>
      <c r="F25" s="397">
        <v>1850.0</v>
      </c>
      <c r="G25" s="397">
        <v>879.0</v>
      </c>
      <c r="H25" s="398">
        <v>0.04</v>
      </c>
      <c r="I25" s="397">
        <v>464.0</v>
      </c>
      <c r="J25" s="397">
        <v>415.0</v>
      </c>
      <c r="K25" s="398">
        <v>0.47</v>
      </c>
      <c r="L25" s="397">
        <v>732.0</v>
      </c>
      <c r="M25" s="398">
        <v>0.05</v>
      </c>
      <c r="N25" s="397">
        <v>121.0</v>
      </c>
      <c r="O25" s="398">
        <v>0.02</v>
      </c>
      <c r="P25" s="397">
        <v>26.0</v>
      </c>
      <c r="Q25" s="398">
        <v>0.01</v>
      </c>
    </row>
    <row r="26">
      <c r="A26" s="395">
        <v>25.0</v>
      </c>
      <c r="B26" s="396" t="s">
        <v>317</v>
      </c>
      <c r="C26" s="397">
        <v>31402.0</v>
      </c>
      <c r="D26" s="397">
        <v>18726.0</v>
      </c>
      <c r="E26" s="397">
        <v>12339.0</v>
      </c>
      <c r="F26" s="397">
        <v>0.0</v>
      </c>
      <c r="G26" s="397">
        <v>84.0</v>
      </c>
      <c r="H26" s="398">
        <v>0.0</v>
      </c>
      <c r="I26" s="397">
        <v>43.0</v>
      </c>
      <c r="J26" s="397">
        <v>41.0</v>
      </c>
      <c r="K26" s="398">
        <v>0.49</v>
      </c>
      <c r="L26" s="397">
        <v>23.0</v>
      </c>
      <c r="M26" s="398">
        <v>0.0</v>
      </c>
      <c r="N26" s="397">
        <v>61.0</v>
      </c>
      <c r="O26" s="398">
        <v>0.0</v>
      </c>
      <c r="P26" s="397">
        <v>0.0</v>
      </c>
      <c r="Q26" s="398">
        <v>0.0</v>
      </c>
    </row>
    <row r="27">
      <c r="A27" s="395">
        <v>26.0</v>
      </c>
      <c r="B27" s="396" t="s">
        <v>318</v>
      </c>
      <c r="C27" s="397">
        <v>331336.0</v>
      </c>
      <c r="D27" s="397">
        <v>200077.0</v>
      </c>
      <c r="E27" s="397">
        <v>78872.0</v>
      </c>
      <c r="F27" s="397">
        <v>32204.0</v>
      </c>
      <c r="G27" s="397">
        <v>6287.0</v>
      </c>
      <c r="H27" s="398">
        <v>0.02</v>
      </c>
      <c r="I27" s="397">
        <v>3989.0</v>
      </c>
      <c r="J27" s="397">
        <v>2298.0</v>
      </c>
      <c r="K27" s="398">
        <v>0.37</v>
      </c>
      <c r="L27" s="397">
        <v>4317.0</v>
      </c>
      <c r="M27" s="398">
        <v>0.02</v>
      </c>
      <c r="N27" s="397">
        <v>1448.0</v>
      </c>
      <c r="O27" s="398">
        <v>0.02</v>
      </c>
      <c r="P27" s="397">
        <v>170.0</v>
      </c>
      <c r="Q27" s="398">
        <v>0.01</v>
      </c>
    </row>
    <row r="28">
      <c r="A28" s="395">
        <v>27.0</v>
      </c>
      <c r="B28" s="396" t="s">
        <v>319</v>
      </c>
      <c r="C28" s="397">
        <v>12355.0</v>
      </c>
      <c r="D28" s="397">
        <v>4524.0</v>
      </c>
      <c r="E28" s="397">
        <v>6762.0</v>
      </c>
      <c r="F28" s="397">
        <v>863.0</v>
      </c>
      <c r="G28" s="397">
        <v>158.0</v>
      </c>
      <c r="H28" s="398">
        <v>0.01</v>
      </c>
      <c r="I28" s="397">
        <v>47.0</v>
      </c>
      <c r="J28" s="397">
        <v>111.0</v>
      </c>
      <c r="K28" s="398">
        <v>0.7</v>
      </c>
      <c r="L28" s="397">
        <v>75.0</v>
      </c>
      <c r="M28" s="398">
        <v>0.02</v>
      </c>
      <c r="N28" s="397">
        <v>82.0</v>
      </c>
      <c r="O28" s="398">
        <v>0.01</v>
      </c>
      <c r="P28" s="397">
        <v>0.0</v>
      </c>
      <c r="Q28" s="398">
        <v>0.0</v>
      </c>
    </row>
    <row r="29">
      <c r="A29" s="395">
        <v>28.0</v>
      </c>
      <c r="B29" s="396" t="s">
        <v>320</v>
      </c>
      <c r="C29" s="397">
        <v>257134.0</v>
      </c>
      <c r="D29" s="397">
        <v>118713.0</v>
      </c>
      <c r="E29" s="397">
        <v>130629.0</v>
      </c>
      <c r="F29" s="397">
        <v>4711.0</v>
      </c>
      <c r="G29" s="397">
        <v>539.0</v>
      </c>
      <c r="H29" s="398">
        <v>0.0</v>
      </c>
      <c r="I29" s="397">
        <v>115.0</v>
      </c>
      <c r="J29" s="397">
        <v>424.0</v>
      </c>
      <c r="K29" s="398">
        <v>0.79</v>
      </c>
      <c r="L29" s="397">
        <v>43.0</v>
      </c>
      <c r="M29" s="398">
        <v>0.0</v>
      </c>
      <c r="N29" s="397">
        <v>407.0</v>
      </c>
      <c r="O29" s="398">
        <v>0.0</v>
      </c>
      <c r="P29" s="397">
        <v>66.0</v>
      </c>
      <c r="Q29" s="398">
        <v>0.01</v>
      </c>
    </row>
    <row r="30">
      <c r="A30" s="395">
        <v>29.0</v>
      </c>
      <c r="B30" s="396" t="s">
        <v>321</v>
      </c>
      <c r="C30" s="397">
        <v>724525.0</v>
      </c>
      <c r="D30" s="397">
        <v>383068.0</v>
      </c>
      <c r="E30" s="397">
        <v>326490.0</v>
      </c>
      <c r="F30" s="397">
        <v>0.0</v>
      </c>
      <c r="G30" s="397">
        <v>6663.0</v>
      </c>
      <c r="H30" s="398">
        <v>0.01</v>
      </c>
      <c r="I30" s="397">
        <v>4288.0</v>
      </c>
      <c r="J30" s="397">
        <v>2375.0</v>
      </c>
      <c r="K30" s="398">
        <v>0.36</v>
      </c>
      <c r="L30" s="397">
        <v>368.0</v>
      </c>
      <c r="M30" s="398">
        <v>0.0</v>
      </c>
      <c r="N30" s="397">
        <v>6044.0</v>
      </c>
      <c r="O30" s="398">
        <v>0.02</v>
      </c>
      <c r="P30" s="397">
        <v>0.0</v>
      </c>
      <c r="Q30" s="398">
        <v>0.0</v>
      </c>
    </row>
    <row r="31">
      <c r="A31" s="395">
        <v>30.0</v>
      </c>
      <c r="B31" s="396" t="s">
        <v>322</v>
      </c>
      <c r="C31" s="397">
        <v>13613.0</v>
      </c>
      <c r="D31" s="397">
        <v>9504.0</v>
      </c>
      <c r="E31" s="397">
        <v>3523.0</v>
      </c>
      <c r="F31" s="397">
        <v>244.0</v>
      </c>
      <c r="G31" s="397">
        <v>20.0</v>
      </c>
      <c r="H31" s="398">
        <v>0.0</v>
      </c>
      <c r="I31" s="397">
        <v>2.0</v>
      </c>
      <c r="J31" s="397">
        <v>18.0</v>
      </c>
      <c r="K31" s="398">
        <v>0.9</v>
      </c>
      <c r="L31" s="397">
        <v>10.0</v>
      </c>
      <c r="M31" s="398">
        <v>0.0</v>
      </c>
      <c r="N31" s="397">
        <v>8.0</v>
      </c>
      <c r="O31" s="398">
        <v>0.0</v>
      </c>
      <c r="P31" s="397">
        <v>2.0</v>
      </c>
      <c r="Q31" s="398">
        <v>0.01</v>
      </c>
    </row>
    <row r="32">
      <c r="A32" s="395">
        <v>31.0</v>
      </c>
      <c r="B32" s="396" t="s">
        <v>323</v>
      </c>
      <c r="C32" s="397">
        <v>569920.0</v>
      </c>
      <c r="D32" s="397">
        <v>219879.0</v>
      </c>
      <c r="E32" s="397">
        <v>258225.0</v>
      </c>
      <c r="F32" s="397">
        <v>78333.0</v>
      </c>
      <c r="G32" s="397">
        <v>16002.0</v>
      </c>
      <c r="H32" s="398">
        <v>0.03</v>
      </c>
      <c r="I32" s="397">
        <v>7144.0</v>
      </c>
      <c r="J32" s="397">
        <v>8858.0</v>
      </c>
      <c r="K32" s="398">
        <v>0.55</v>
      </c>
      <c r="L32" s="397">
        <v>12633.0</v>
      </c>
      <c r="M32" s="398">
        <v>0.06</v>
      </c>
      <c r="N32" s="397">
        <v>2578.0</v>
      </c>
      <c r="O32" s="398">
        <v>0.01</v>
      </c>
      <c r="P32" s="397">
        <v>309.0</v>
      </c>
      <c r="Q32" s="398">
        <v>0.0</v>
      </c>
    </row>
    <row r="33">
      <c r="A33" s="395">
        <v>32.0</v>
      </c>
      <c r="B33" s="396" t="s">
        <v>324</v>
      </c>
      <c r="C33" s="397">
        <v>320894.0</v>
      </c>
      <c r="D33" s="397">
        <v>127732.0</v>
      </c>
      <c r="E33" s="397">
        <v>176885.0</v>
      </c>
      <c r="F33" s="397">
        <v>3337.0</v>
      </c>
      <c r="G33" s="397">
        <v>1702.0</v>
      </c>
      <c r="H33" s="398">
        <v>0.01</v>
      </c>
      <c r="I33" s="397">
        <v>906.0</v>
      </c>
      <c r="J33" s="397">
        <v>796.0</v>
      </c>
      <c r="K33" s="398">
        <v>0.47</v>
      </c>
      <c r="L33" s="397">
        <v>1570.0</v>
      </c>
      <c r="M33" s="398">
        <v>0.01</v>
      </c>
      <c r="N33" s="397">
        <v>0.0</v>
      </c>
      <c r="O33" s="398">
        <v>0.0</v>
      </c>
      <c r="P33" s="397">
        <v>1.0</v>
      </c>
      <c r="Q33" s="398">
        <v>0.0</v>
      </c>
    </row>
    <row r="34">
      <c r="A34" s="395">
        <v>33.0</v>
      </c>
      <c r="B34" s="396" t="s">
        <v>325</v>
      </c>
      <c r="C34" s="397">
        <v>36433.0</v>
      </c>
      <c r="D34" s="397">
        <v>27559.0</v>
      </c>
      <c r="E34" s="397">
        <v>6191.0</v>
      </c>
      <c r="F34" s="397">
        <v>1125.0</v>
      </c>
      <c r="G34" s="397">
        <v>160.0</v>
      </c>
      <c r="H34" s="398">
        <v>0.0</v>
      </c>
      <c r="I34" s="397">
        <v>89.0</v>
      </c>
      <c r="J34" s="397">
        <v>71.0</v>
      </c>
      <c r="K34" s="398">
        <v>0.44</v>
      </c>
      <c r="L34" s="397">
        <v>1.0</v>
      </c>
      <c r="M34" s="398">
        <v>0.0</v>
      </c>
      <c r="N34" s="397">
        <v>135.0</v>
      </c>
      <c r="O34" s="398">
        <v>0.02</v>
      </c>
      <c r="P34" s="397">
        <v>0.0</v>
      </c>
      <c r="Q34" s="398">
        <v>0.0</v>
      </c>
    </row>
    <row r="35">
      <c r="A35" s="395">
        <v>35.0</v>
      </c>
      <c r="B35" s="396" t="s">
        <v>326</v>
      </c>
      <c r="C35" s="397">
        <v>1507828.0</v>
      </c>
      <c r="D35" s="397">
        <v>624874.0</v>
      </c>
      <c r="E35" s="397">
        <v>703949.0</v>
      </c>
      <c r="F35" s="397">
        <v>89732.0</v>
      </c>
      <c r="G35" s="397">
        <v>25303.0</v>
      </c>
      <c r="H35" s="398">
        <v>0.02</v>
      </c>
      <c r="I35" s="397">
        <v>13555.0</v>
      </c>
      <c r="J35" s="397">
        <v>11748.0</v>
      </c>
      <c r="K35" s="398">
        <v>0.46</v>
      </c>
      <c r="L35" s="397">
        <v>14227.0</v>
      </c>
      <c r="M35" s="398">
        <v>0.02</v>
      </c>
      <c r="N35" s="397">
        <v>8934.0</v>
      </c>
      <c r="O35" s="398">
        <v>0.01</v>
      </c>
      <c r="P35" s="397">
        <v>1357.0</v>
      </c>
      <c r="Q35" s="398">
        <v>0.02</v>
      </c>
    </row>
    <row r="36">
      <c r="A36" s="395">
        <v>34.0</v>
      </c>
      <c r="B36" s="396" t="s">
        <v>327</v>
      </c>
      <c r="C36" s="397">
        <v>123212.0</v>
      </c>
      <c r="D36" s="397">
        <v>57282.0</v>
      </c>
      <c r="E36" s="397">
        <v>56329.0</v>
      </c>
      <c r="F36" s="397">
        <v>5169.0</v>
      </c>
      <c r="G36" s="397">
        <v>3612.0</v>
      </c>
      <c r="H36" s="398">
        <v>0.03</v>
      </c>
      <c r="I36" s="397">
        <v>1672.0</v>
      </c>
      <c r="J36" s="397">
        <v>1940.0</v>
      </c>
      <c r="K36" s="398">
        <v>0.54</v>
      </c>
      <c r="L36" s="397">
        <v>2365.0</v>
      </c>
      <c r="M36" s="398">
        <v>0.04</v>
      </c>
      <c r="N36" s="397">
        <v>1037.0</v>
      </c>
      <c r="O36" s="398">
        <v>0.02</v>
      </c>
      <c r="P36" s="397">
        <v>131.0</v>
      </c>
      <c r="Q36" s="398">
        <v>0.03</v>
      </c>
    </row>
    <row r="37">
      <c r="A37" s="395">
        <v>36.0</v>
      </c>
      <c r="B37" s="396" t="s">
        <v>328</v>
      </c>
      <c r="C37" s="397">
        <v>581687.0</v>
      </c>
      <c r="D37" s="397">
        <v>471748.0</v>
      </c>
      <c r="E37" s="397">
        <v>94087.0</v>
      </c>
      <c r="F37" s="397">
        <v>1042.0</v>
      </c>
      <c r="G37" s="397">
        <v>1422.0</v>
      </c>
      <c r="H37" s="398">
        <v>0.0</v>
      </c>
      <c r="I37" s="397">
        <v>738.0</v>
      </c>
      <c r="J37" s="397">
        <v>684.0</v>
      </c>
      <c r="K37" s="398">
        <v>0.48</v>
      </c>
      <c r="L37" s="397">
        <v>408.0</v>
      </c>
      <c r="M37" s="398">
        <v>0.0</v>
      </c>
      <c r="N37" s="397">
        <v>797.0</v>
      </c>
      <c r="O37" s="398">
        <v>0.01</v>
      </c>
      <c r="P37" s="397">
        <v>15.0</v>
      </c>
      <c r="Q37" s="398">
        <v>0.01</v>
      </c>
    </row>
    <row r="38">
      <c r="A38" s="406"/>
      <c r="B38" s="407" t="s">
        <v>67</v>
      </c>
      <c r="C38" s="408">
        <v>9507123.0</v>
      </c>
      <c r="D38" s="408">
        <v>4681968.0</v>
      </c>
      <c r="E38" s="408">
        <v>3540647.0</v>
      </c>
      <c r="F38" s="408">
        <v>796631.0</v>
      </c>
      <c r="G38" s="408">
        <v>129791.0</v>
      </c>
      <c r="H38" s="409">
        <v>0.01</v>
      </c>
      <c r="I38" s="408">
        <v>58990.0</v>
      </c>
      <c r="J38" s="408">
        <v>70801.0</v>
      </c>
      <c r="K38" s="409">
        <v>0.55</v>
      </c>
      <c r="L38" s="408">
        <v>67079.0</v>
      </c>
      <c r="M38" s="409">
        <v>0.01</v>
      </c>
      <c r="N38" s="408">
        <v>47223.0</v>
      </c>
      <c r="O38" s="409">
        <v>0.01</v>
      </c>
      <c r="P38" s="408">
        <v>6993.0</v>
      </c>
      <c r="Q38" s="409">
        <v>0.01</v>
      </c>
    </row>
    <row r="39">
      <c r="I39" s="251" t="str">
        <f>L45</f>
        <v/>
      </c>
    </row>
    <row r="40">
      <c r="D40" s="410"/>
    </row>
    <row r="42">
      <c r="D42" s="53"/>
    </row>
    <row r="43">
      <c r="D43" s="53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Aditi Desai</dc:creator>
</cp:coreProperties>
</file>